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ccyclist-my.sharepoint.com/personal/robert_kingston_cyclinguk_org/Documents/Documents/"/>
    </mc:Choice>
  </mc:AlternateContent>
  <xr:revisionPtr revIDLastSave="0" documentId="8_{306EC9EC-BA06-4A43-9CE1-4C6C99558E44}" xr6:coauthVersionLast="46" xr6:coauthVersionMax="46" xr10:uidLastSave="{00000000-0000-0000-0000-000000000000}"/>
  <bookViews>
    <workbookView xWindow="144" yWindow="204" windowWidth="22140" windowHeight="12480" activeTab="2" xr2:uid="{8EFBBA63-6856-45AE-A950-458BC915B884}"/>
  </bookViews>
  <sheets>
    <sheet name="Responding LAs" sheetId="1" r:id="rId1"/>
    <sheet name="English LAs" sheetId="6" r:id="rId2"/>
    <sheet name="Welsh LAs" sheetId="5" r:id="rId3"/>
    <sheet name="Scottish LAs" sheetId="4" r:id="rId4"/>
    <sheet name="Non-responding LAs" sheetId="3" r:id="rId5"/>
  </sheets>
  <definedNames>
    <definedName name="_xlnm._FilterDatabase" localSheetId="0" hidden="1">'Responding LAs'!$A$4:$CF$161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9" i="6" l="1"/>
  <c r="J119" i="6"/>
  <c r="M118" i="6"/>
  <c r="L118" i="6"/>
  <c r="J118" i="6"/>
  <c r="H118" i="6"/>
  <c r="G119" i="6"/>
  <c r="G120" i="6"/>
  <c r="G121" i="6" s="1"/>
  <c r="D118" i="6"/>
  <c r="E118" i="6"/>
  <c r="F118" i="6"/>
  <c r="G118" i="6"/>
  <c r="C118" i="6"/>
  <c r="K118" i="6" s="1"/>
  <c r="B118" i="6"/>
  <c r="G166" i="1"/>
  <c r="F166" i="1"/>
  <c r="E166" i="1"/>
  <c r="D166" i="1"/>
  <c r="C164" i="1"/>
  <c r="C119" i="6" l="1"/>
  <c r="E119" i="6" s="1"/>
  <c r="F119" i="6" l="1"/>
  <c r="D119" i="6"/>
  <c r="C120" i="6"/>
  <c r="F120" i="6"/>
  <c r="F121" i="6" s="1"/>
  <c r="E120" i="6"/>
  <c r="E121" i="6" s="1"/>
  <c r="D120" i="6"/>
  <c r="D121" i="6" s="1"/>
  <c r="L31" i="4" l="1"/>
  <c r="L32" i="4" s="1"/>
  <c r="L22" i="5"/>
  <c r="L21" i="5"/>
  <c r="M32" i="4"/>
  <c r="D42" i="4" s="1"/>
  <c r="E42" i="4" s="1"/>
  <c r="D41" i="4"/>
  <c r="D40" i="4"/>
  <c r="D39" i="4"/>
  <c r="D32" i="5"/>
  <c r="M22" i="5"/>
  <c r="D31" i="5"/>
  <c r="D30" i="5"/>
  <c r="D29" i="5"/>
  <c r="E32" i="5"/>
  <c r="J21" i="5"/>
  <c r="H22" i="5"/>
  <c r="D22" i="5"/>
  <c r="E22" i="5"/>
  <c r="F22" i="5"/>
  <c r="G22" i="5"/>
  <c r="C22" i="5"/>
  <c r="B21" i="5"/>
  <c r="C23" i="5"/>
  <c r="F23" i="5" s="1"/>
  <c r="AG5" i="4"/>
  <c r="AA5" i="4"/>
  <c r="S5" i="4" a="1"/>
  <c r="S5" i="4" s="1"/>
  <c r="T5" i="4" s="1"/>
  <c r="U5" i="4" s="1"/>
  <c r="K5" i="4"/>
  <c r="L5" i="4" s="1"/>
  <c r="J5" i="4"/>
  <c r="J31" i="4" s="1"/>
  <c r="J32" i="4" s="1"/>
  <c r="I5" i="4"/>
  <c r="H5" i="4"/>
  <c r="H32" i="4" s="1"/>
  <c r="B31" i="4"/>
  <c r="D32" i="4"/>
  <c r="E32" i="4"/>
  <c r="F32" i="4"/>
  <c r="G32" i="4"/>
  <c r="C32" i="4"/>
  <c r="C33" i="4" s="1"/>
  <c r="G117" i="1"/>
  <c r="F117" i="1"/>
  <c r="E117" i="1"/>
  <c r="D117" i="1"/>
  <c r="C117" i="1"/>
  <c r="K117" i="1" s="1"/>
  <c r="H193" i="1"/>
  <c r="G193" i="1"/>
  <c r="I192" i="1"/>
  <c r="I191" i="1"/>
  <c r="I190" i="1"/>
  <c r="I189" i="1"/>
  <c r="I185" i="1"/>
  <c r="I184" i="1"/>
  <c r="I183" i="1"/>
  <c r="I182" i="1"/>
  <c r="I181" i="1"/>
  <c r="J44" i="1"/>
  <c r="K44" i="1"/>
  <c r="L44" i="1" s="1"/>
  <c r="T44" i="1"/>
  <c r="AA44" i="1"/>
  <c r="AG44" i="1"/>
  <c r="J71" i="1"/>
  <c r="K71" i="1"/>
  <c r="L71" i="1" s="1"/>
  <c r="T71" i="1"/>
  <c r="AA71" i="1"/>
  <c r="AG71" i="1"/>
  <c r="J75" i="1"/>
  <c r="K75" i="1"/>
  <c r="L75" i="1" s="1"/>
  <c r="T75" i="1"/>
  <c r="AA75" i="1"/>
  <c r="AG75" i="1"/>
  <c r="J84" i="1"/>
  <c r="K84" i="1"/>
  <c r="L84" i="1" s="1"/>
  <c r="T84" i="1"/>
  <c r="AA84" i="1"/>
  <c r="AG84" i="1"/>
  <c r="J110" i="1"/>
  <c r="K110" i="1"/>
  <c r="L110" i="1" s="1"/>
  <c r="T110" i="1"/>
  <c r="AA110" i="1"/>
  <c r="AG110" i="1"/>
  <c r="J79" i="1"/>
  <c r="I10" i="1"/>
  <c r="I12" i="1"/>
  <c r="I13" i="1"/>
  <c r="I14" i="1"/>
  <c r="I15" i="1"/>
  <c r="I16" i="1"/>
  <c r="I17" i="1"/>
  <c r="I22" i="1"/>
  <c r="I24" i="1"/>
  <c r="I25" i="1"/>
  <c r="I26" i="1"/>
  <c r="I27" i="1"/>
  <c r="I28" i="1"/>
  <c r="I29" i="1"/>
  <c r="I30" i="1"/>
  <c r="I31" i="1"/>
  <c r="I32" i="1"/>
  <c r="I34" i="1"/>
  <c r="I35" i="1"/>
  <c r="I37" i="1"/>
  <c r="I40" i="1"/>
  <c r="I42" i="1"/>
  <c r="I43" i="1"/>
  <c r="I45" i="1"/>
  <c r="I46" i="1"/>
  <c r="I47" i="1"/>
  <c r="I48" i="1"/>
  <c r="I49" i="1"/>
  <c r="I50" i="1"/>
  <c r="I51" i="1"/>
  <c r="I52" i="1"/>
  <c r="I53" i="1"/>
  <c r="I54" i="1"/>
  <c r="I56" i="1"/>
  <c r="I57" i="1"/>
  <c r="I58" i="1"/>
  <c r="I59" i="1"/>
  <c r="I62" i="1"/>
  <c r="I65" i="1"/>
  <c r="I68" i="1"/>
  <c r="I69" i="1"/>
  <c r="I70" i="1"/>
  <c r="I72" i="1"/>
  <c r="I73" i="1"/>
  <c r="I74" i="1"/>
  <c r="I76" i="1"/>
  <c r="I77" i="1"/>
  <c r="I78" i="1"/>
  <c r="I79" i="1"/>
  <c r="I80" i="1"/>
  <c r="I81" i="1"/>
  <c r="I82" i="1"/>
  <c r="I85" i="1"/>
  <c r="I86" i="1"/>
  <c r="I87" i="1"/>
  <c r="I89" i="1"/>
  <c r="I91" i="1"/>
  <c r="I92" i="1"/>
  <c r="I94" i="1"/>
  <c r="I97" i="1"/>
  <c r="I99" i="1"/>
  <c r="I100" i="1"/>
  <c r="I101" i="1"/>
  <c r="I103" i="1"/>
  <c r="I104" i="1"/>
  <c r="I105" i="1"/>
  <c r="I106" i="1"/>
  <c r="I108" i="1"/>
  <c r="I109" i="1"/>
  <c r="I111" i="1"/>
  <c r="I112" i="1"/>
  <c r="I113" i="1"/>
  <c r="I114" i="1"/>
  <c r="I116" i="1"/>
  <c r="I118" i="1"/>
  <c r="I119" i="1"/>
  <c r="I120" i="1"/>
  <c r="I121" i="1"/>
  <c r="I122" i="1"/>
  <c r="I123" i="1"/>
  <c r="I124" i="1"/>
  <c r="I125" i="1"/>
  <c r="I126" i="1"/>
  <c r="I129" i="1"/>
  <c r="I130" i="1"/>
  <c r="I131" i="1"/>
  <c r="I133" i="1"/>
  <c r="I134" i="1"/>
  <c r="I135" i="1"/>
  <c r="I136" i="1"/>
  <c r="I137" i="1"/>
  <c r="I139" i="1"/>
  <c r="I140" i="1"/>
  <c r="I141" i="1"/>
  <c r="I142" i="1"/>
  <c r="I143" i="1"/>
  <c r="I145" i="1"/>
  <c r="I146" i="1"/>
  <c r="I147" i="1"/>
  <c r="I155" i="1"/>
  <c r="I156" i="1"/>
  <c r="I157" i="1"/>
  <c r="I159" i="1"/>
  <c r="I160" i="1"/>
  <c r="I161" i="1"/>
  <c r="I7" i="1"/>
  <c r="I8" i="1"/>
  <c r="I5" i="1"/>
  <c r="K39" i="1"/>
  <c r="L39" i="1" s="1"/>
  <c r="J39" i="1"/>
  <c r="J6" i="1"/>
  <c r="J5" i="1"/>
  <c r="M163" i="1"/>
  <c r="C181" i="1" s="1"/>
  <c r="AG39" i="1"/>
  <c r="R39" i="1"/>
  <c r="Q39" i="1"/>
  <c r="P39" i="1"/>
  <c r="O39" i="1"/>
  <c r="N39" i="1"/>
  <c r="AA39" i="1"/>
  <c r="AG161" i="1"/>
  <c r="R161" i="1"/>
  <c r="Q161" i="1"/>
  <c r="P161" i="1"/>
  <c r="O161" i="1"/>
  <c r="N161" i="1"/>
  <c r="AA161" i="1"/>
  <c r="T160" i="1"/>
  <c r="T159" i="1"/>
  <c r="AG159" i="1"/>
  <c r="T158" i="1"/>
  <c r="U158" i="1" s="1"/>
  <c r="AG158" i="1"/>
  <c r="AA158" i="1"/>
  <c r="T157" i="1"/>
  <c r="T156" i="1"/>
  <c r="AG156" i="1"/>
  <c r="AG155" i="1"/>
  <c r="R155" i="1"/>
  <c r="Q155" i="1"/>
  <c r="P155" i="1"/>
  <c r="O155" i="1"/>
  <c r="N155" i="1"/>
  <c r="AA155" i="1"/>
  <c r="AG154" i="1"/>
  <c r="T153" i="1"/>
  <c r="U153" i="1" s="1"/>
  <c r="AG153" i="1"/>
  <c r="AG152" i="1"/>
  <c r="S152" i="1" a="1"/>
  <c r="S152" i="1" s="1"/>
  <c r="T152" i="1" s="1"/>
  <c r="U152" i="1" s="1"/>
  <c r="AA152" i="1"/>
  <c r="AG151" i="1"/>
  <c r="S151" i="1" a="1"/>
  <c r="S151" i="1" s="1"/>
  <c r="T151" i="1" s="1"/>
  <c r="U151" i="1" s="1"/>
  <c r="AA151" i="1"/>
  <c r="AG150" i="1"/>
  <c r="R150" i="1"/>
  <c r="Q150" i="1"/>
  <c r="P150" i="1"/>
  <c r="O150" i="1"/>
  <c r="N150" i="1"/>
  <c r="AG149" i="1"/>
  <c r="S149" i="1" a="1"/>
  <c r="S149" i="1" s="1"/>
  <c r="T149" i="1" s="1"/>
  <c r="T148" i="1"/>
  <c r="U148" i="1" s="1"/>
  <c r="AG148" i="1"/>
  <c r="AA148" i="1"/>
  <c r="AG147" i="1"/>
  <c r="R147" i="1"/>
  <c r="Q147" i="1"/>
  <c r="P147" i="1"/>
  <c r="O147" i="1"/>
  <c r="N147" i="1"/>
  <c r="AA147" i="1"/>
  <c r="AG146" i="1"/>
  <c r="S146" i="1" a="1"/>
  <c r="S146" i="1" s="1"/>
  <c r="T146" i="1" s="1"/>
  <c r="AG145" i="1"/>
  <c r="S145" i="1" a="1"/>
  <c r="S145" i="1" s="1"/>
  <c r="T145" i="1" s="1"/>
  <c r="U145" i="1" s="1"/>
  <c r="AG144" i="1"/>
  <c r="R144" i="1"/>
  <c r="Q144" i="1"/>
  <c r="P144" i="1"/>
  <c r="O144" i="1"/>
  <c r="N144" i="1"/>
  <c r="AG143" i="1"/>
  <c r="R143" i="1"/>
  <c r="Q143" i="1"/>
  <c r="P143" i="1"/>
  <c r="O143" i="1"/>
  <c r="N143" i="1"/>
  <c r="AA143" i="1"/>
  <c r="AG142" i="1"/>
  <c r="S142" i="1" a="1"/>
  <c r="S142" i="1" s="1"/>
  <c r="T142" i="1" s="1"/>
  <c r="U142" i="1" s="1"/>
  <c r="AA142" i="1"/>
  <c r="AG141" i="1"/>
  <c r="S141" i="1" a="1"/>
  <c r="S141" i="1" s="1"/>
  <c r="T141" i="1" s="1"/>
  <c r="AG140" i="1"/>
  <c r="R140" i="1"/>
  <c r="Q140" i="1"/>
  <c r="P140" i="1"/>
  <c r="O140" i="1"/>
  <c r="N140" i="1"/>
  <c r="AG139" i="1"/>
  <c r="S139" i="1" a="1"/>
  <c r="S139" i="1" s="1"/>
  <c r="T139" i="1" s="1"/>
  <c r="AG138" i="1"/>
  <c r="S138" i="1" a="1"/>
  <c r="S138" i="1" s="1"/>
  <c r="T138" i="1" s="1"/>
  <c r="AG137" i="1"/>
  <c r="S137" i="1"/>
  <c r="T137" i="1" s="1"/>
  <c r="U137" i="1" s="1"/>
  <c r="AA137" i="1"/>
  <c r="AG136" i="1"/>
  <c r="S136" i="1"/>
  <c r="T136" i="1" s="1"/>
  <c r="U136" i="1" s="1"/>
  <c r="AG135" i="1"/>
  <c r="S135" i="1" a="1"/>
  <c r="S135" i="1" s="1"/>
  <c r="T135" i="1" s="1"/>
  <c r="AG134" i="1"/>
  <c r="S134" i="1" a="1"/>
  <c r="S134" i="1" s="1"/>
  <c r="T134" i="1" s="1"/>
  <c r="AG133" i="1"/>
  <c r="S133" i="1" a="1"/>
  <c r="S133" i="1" s="1"/>
  <c r="T133" i="1" s="1"/>
  <c r="AG132" i="1"/>
  <c r="R132" i="1"/>
  <c r="Q132" i="1"/>
  <c r="P132" i="1"/>
  <c r="AG131" i="1"/>
  <c r="S131" i="1" a="1"/>
  <c r="S131" i="1" s="1"/>
  <c r="T131" i="1" s="1"/>
  <c r="AG130" i="1"/>
  <c r="R130" i="1"/>
  <c r="Q130" i="1"/>
  <c r="P130" i="1"/>
  <c r="O130" i="1"/>
  <c r="N130" i="1"/>
  <c r="AA130" i="1"/>
  <c r="AG129" i="1"/>
  <c r="S129" i="1" a="1"/>
  <c r="S129" i="1" s="1"/>
  <c r="T129" i="1" s="1"/>
  <c r="AG128" i="1"/>
  <c r="Q128" i="1"/>
  <c r="P128" i="1"/>
  <c r="O128" i="1"/>
  <c r="N128" i="1"/>
  <c r="AA128" i="1"/>
  <c r="AG127" i="1"/>
  <c r="S127" i="1" a="1"/>
  <c r="S127" i="1" s="1"/>
  <c r="T127" i="1" s="1"/>
  <c r="AG126" i="1"/>
  <c r="R126" i="1"/>
  <c r="Q126" i="1"/>
  <c r="P126" i="1"/>
  <c r="O126" i="1"/>
  <c r="N126" i="1"/>
  <c r="AG125" i="1"/>
  <c r="S125" i="1" a="1"/>
  <c r="S125" i="1" s="1"/>
  <c r="T125" i="1" s="1"/>
  <c r="AG124" i="1"/>
  <c r="S124" i="1" a="1"/>
  <c r="S124" i="1" s="1"/>
  <c r="T124" i="1" s="1"/>
  <c r="U124" i="1" s="1"/>
  <c r="AA124" i="1"/>
  <c r="AG123" i="1"/>
  <c r="S123" i="1" a="1"/>
  <c r="S123" i="1" s="1"/>
  <c r="T123" i="1" s="1"/>
  <c r="AG122" i="1"/>
  <c r="S122" i="1" a="1"/>
  <c r="S122" i="1" s="1"/>
  <c r="T122" i="1" s="1"/>
  <c r="AG121" i="1"/>
  <c r="S121" i="1" a="1"/>
  <c r="S121" i="1" s="1"/>
  <c r="T121" i="1" s="1"/>
  <c r="AG120" i="1"/>
  <c r="S120" i="1" a="1"/>
  <c r="S120" i="1" s="1"/>
  <c r="T120" i="1" s="1"/>
  <c r="AG119" i="1"/>
  <c r="R119" i="1"/>
  <c r="Q119" i="1"/>
  <c r="P119" i="1"/>
  <c r="O119" i="1"/>
  <c r="N119" i="1"/>
  <c r="AA119" i="1"/>
  <c r="AG118" i="1"/>
  <c r="S118" i="1" a="1"/>
  <c r="S118" i="1" s="1"/>
  <c r="T118" i="1" s="1"/>
  <c r="AG117" i="1"/>
  <c r="R117" i="1"/>
  <c r="Q117" i="1"/>
  <c r="P117" i="1"/>
  <c r="O117" i="1"/>
  <c r="N117" i="1"/>
  <c r="AA117" i="1"/>
  <c r="AG116" i="1"/>
  <c r="S116" i="1" a="1"/>
  <c r="S116" i="1" s="1"/>
  <c r="T116" i="1" s="1"/>
  <c r="AG115" i="1"/>
  <c r="R115" i="1"/>
  <c r="Q115" i="1"/>
  <c r="P115" i="1"/>
  <c r="O115" i="1"/>
  <c r="N115" i="1"/>
  <c r="AA115" i="1"/>
  <c r="T114" i="1"/>
  <c r="AG114" i="1"/>
  <c r="T113" i="1"/>
  <c r="U113" i="1" s="1"/>
  <c r="AG113" i="1"/>
  <c r="T112" i="1"/>
  <c r="AF111" i="1"/>
  <c r="AE111" i="1"/>
  <c r="AD111" i="1"/>
  <c r="AC111" i="1"/>
  <c r="AB111" i="1"/>
  <c r="AG109" i="1"/>
  <c r="R109" i="1"/>
  <c r="Q109" i="1"/>
  <c r="P109" i="1"/>
  <c r="AG108" i="1"/>
  <c r="R108" i="1"/>
  <c r="Q108" i="1"/>
  <c r="P108" i="1"/>
  <c r="O108" i="1"/>
  <c r="N108" i="1"/>
  <c r="AA108" i="1"/>
  <c r="AG107" i="1"/>
  <c r="Q107" i="1"/>
  <c r="P107" i="1"/>
  <c r="O107" i="1"/>
  <c r="N107" i="1"/>
  <c r="AA107" i="1"/>
  <c r="T106" i="1"/>
  <c r="AG106" i="1"/>
  <c r="T105" i="1"/>
  <c r="AG105" i="1"/>
  <c r="T104" i="1"/>
  <c r="AG104" i="1"/>
  <c r="T103" i="1"/>
  <c r="AG103" i="1"/>
  <c r="AG102" i="1"/>
  <c r="S102" i="1" a="1"/>
  <c r="S102" i="1" s="1"/>
  <c r="T102" i="1" s="1"/>
  <c r="U102" i="1" s="1"/>
  <c r="AA102" i="1"/>
  <c r="T101" i="1"/>
  <c r="AG101" i="1"/>
  <c r="T100" i="1"/>
  <c r="AG100" i="1"/>
  <c r="T99" i="1"/>
  <c r="AG99" i="1"/>
  <c r="AG98" i="1"/>
  <c r="S98" i="1" a="1"/>
  <c r="S98" i="1" s="1"/>
  <c r="T98" i="1" s="1"/>
  <c r="U98" i="1" s="1"/>
  <c r="AA98" i="1"/>
  <c r="AG97" i="1"/>
  <c r="R97" i="1"/>
  <c r="Q97" i="1"/>
  <c r="P97" i="1"/>
  <c r="O97" i="1"/>
  <c r="N97" i="1"/>
  <c r="AA97" i="1"/>
  <c r="AG96" i="1"/>
  <c r="R96" i="1"/>
  <c r="Q96" i="1"/>
  <c r="P96" i="1"/>
  <c r="O96" i="1"/>
  <c r="N96" i="1"/>
  <c r="AG95" i="1"/>
  <c r="R95" i="1"/>
  <c r="Q95" i="1"/>
  <c r="P95" i="1"/>
  <c r="O95" i="1"/>
  <c r="N95" i="1"/>
  <c r="AG94" i="1"/>
  <c r="R94" i="1"/>
  <c r="Q94" i="1"/>
  <c r="P94" i="1"/>
  <c r="AG93" i="1"/>
  <c r="S93" i="1" a="1"/>
  <c r="S93" i="1" s="1"/>
  <c r="T93" i="1" s="1"/>
  <c r="U93" i="1" s="1"/>
  <c r="AG92" i="1"/>
  <c r="R92" i="1"/>
  <c r="Q92" i="1"/>
  <c r="P92" i="1"/>
  <c r="O92" i="1"/>
  <c r="N92" i="1"/>
  <c r="AA92" i="1"/>
  <c r="T91" i="1"/>
  <c r="AG91" i="1"/>
  <c r="AG90" i="1"/>
  <c r="Q90" i="1"/>
  <c r="P90" i="1"/>
  <c r="O90" i="1"/>
  <c r="N90" i="1"/>
  <c r="AA90" i="1"/>
  <c r="AG89" i="1"/>
  <c r="S89" i="1" a="1"/>
  <c r="S89" i="1" s="1"/>
  <c r="T89" i="1" s="1"/>
  <c r="U89" i="1" s="1"/>
  <c r="AG88" i="1"/>
  <c r="R88" i="1"/>
  <c r="Q88" i="1"/>
  <c r="P88" i="1"/>
  <c r="O88" i="1"/>
  <c r="N88" i="1"/>
  <c r="AA88" i="1"/>
  <c r="T87" i="1"/>
  <c r="AG87" i="1"/>
  <c r="T86" i="1"/>
  <c r="AG86" i="1"/>
  <c r="T85" i="1"/>
  <c r="AG83" i="1"/>
  <c r="R83" i="1"/>
  <c r="Q83" i="1"/>
  <c r="P83" i="1"/>
  <c r="O83" i="1"/>
  <c r="N83" i="1"/>
  <c r="AA83" i="1"/>
  <c r="T82" i="1"/>
  <c r="AG82" i="1"/>
  <c r="S81" i="1" a="1"/>
  <c r="S81" i="1" s="1"/>
  <c r="T81" i="1" s="1"/>
  <c r="U81" i="1" s="1"/>
  <c r="AG80" i="1"/>
  <c r="R80" i="1"/>
  <c r="Q80" i="1"/>
  <c r="P80" i="1"/>
  <c r="O80" i="1"/>
  <c r="N80" i="1"/>
  <c r="AA80" i="1"/>
  <c r="AG79" i="1"/>
  <c r="R79" i="1"/>
  <c r="Q79" i="1"/>
  <c r="AA79" i="1"/>
  <c r="T78" i="1"/>
  <c r="AG78" i="1"/>
  <c r="AG77" i="1"/>
  <c r="AG76" i="1"/>
  <c r="S76" i="1" a="1"/>
  <c r="S76" i="1" s="1"/>
  <c r="T76" i="1" s="1"/>
  <c r="U76" i="1" s="1"/>
  <c r="T74" i="1"/>
  <c r="AG74" i="1"/>
  <c r="AG73" i="1"/>
  <c r="S73" i="1" a="1"/>
  <c r="S73" i="1" s="1"/>
  <c r="T73" i="1" s="1"/>
  <c r="U73" i="1" s="1"/>
  <c r="AA73" i="1"/>
  <c r="T72" i="1"/>
  <c r="AG72" i="1"/>
  <c r="T70" i="1"/>
  <c r="AG70" i="1"/>
  <c r="AG69" i="1"/>
  <c r="S69" i="1" a="1"/>
  <c r="S69" i="1" s="1"/>
  <c r="T69" i="1" s="1"/>
  <c r="U69" i="1" s="1"/>
  <c r="AA69" i="1"/>
  <c r="T68" i="1"/>
  <c r="AG68" i="1"/>
  <c r="AG67" i="1"/>
  <c r="R67" i="1"/>
  <c r="Q67" i="1"/>
  <c r="P67" i="1"/>
  <c r="O67" i="1"/>
  <c r="N67" i="1"/>
  <c r="AA67" i="1"/>
  <c r="AG66" i="1"/>
  <c r="S66" i="1" a="1"/>
  <c r="S66" i="1" s="1"/>
  <c r="T66" i="1" s="1"/>
  <c r="U66" i="1" s="1"/>
  <c r="AA66" i="1"/>
  <c r="T65" i="1"/>
  <c r="AG65" i="1"/>
  <c r="AG64" i="1"/>
  <c r="S64" i="1" a="1"/>
  <c r="S64" i="1" s="1"/>
  <c r="T64" i="1" s="1"/>
  <c r="U64" i="1" s="1"/>
  <c r="AA64" i="1"/>
  <c r="AG63" i="1"/>
  <c r="R63" i="1"/>
  <c r="Q63" i="1"/>
  <c r="P63" i="1"/>
  <c r="O63" i="1"/>
  <c r="N63" i="1"/>
  <c r="AA63" i="1"/>
  <c r="T62" i="1"/>
  <c r="AG62" i="1"/>
  <c r="AG61" i="1"/>
  <c r="R61" i="1"/>
  <c r="Q61" i="1"/>
  <c r="P61" i="1"/>
  <c r="O61" i="1"/>
  <c r="N61" i="1"/>
  <c r="AG60" i="1"/>
  <c r="S60" i="1" a="1"/>
  <c r="S60" i="1" s="1"/>
  <c r="T60" i="1" s="1"/>
  <c r="U60" i="1" s="1"/>
  <c r="AA60" i="1"/>
  <c r="T59" i="1"/>
  <c r="AG59" i="1"/>
  <c r="T58" i="1"/>
  <c r="AG58" i="1"/>
  <c r="T57" i="1"/>
  <c r="AG57" i="1"/>
  <c r="AF56" i="1"/>
  <c r="AE56" i="1"/>
  <c r="AD56" i="1"/>
  <c r="AC56" i="1"/>
  <c r="AB56" i="1"/>
  <c r="T55" i="1"/>
  <c r="AG55" i="1"/>
  <c r="T54" i="1"/>
  <c r="AG54" i="1"/>
  <c r="AG53" i="1"/>
  <c r="S53" i="1" a="1"/>
  <c r="S53" i="1" s="1"/>
  <c r="T53" i="1" s="1"/>
  <c r="U53" i="1" s="1"/>
  <c r="AA53" i="1"/>
  <c r="T52" i="1"/>
  <c r="AG52" i="1"/>
  <c r="AG51" i="1"/>
  <c r="R51" i="1"/>
  <c r="Q51" i="1"/>
  <c r="P51" i="1"/>
  <c r="AA51" i="1"/>
  <c r="T50" i="1"/>
  <c r="AG50" i="1"/>
  <c r="AG49" i="1"/>
  <c r="S49" i="1" a="1"/>
  <c r="S49" i="1" s="1"/>
  <c r="T49" i="1" s="1"/>
  <c r="U49" i="1" s="1"/>
  <c r="AA49" i="1"/>
  <c r="T48" i="1"/>
  <c r="AG48" i="1"/>
  <c r="T47" i="1"/>
  <c r="AG47" i="1"/>
  <c r="AG46" i="1"/>
  <c r="R46" i="1"/>
  <c r="Q46" i="1"/>
  <c r="P46" i="1"/>
  <c r="O46" i="1"/>
  <c r="N46" i="1"/>
  <c r="AA46" i="1"/>
  <c r="T45" i="1"/>
  <c r="AG45" i="1"/>
  <c r="T43" i="1"/>
  <c r="AG43" i="1"/>
  <c r="T42" i="1"/>
  <c r="AG42" i="1"/>
  <c r="AG41" i="1"/>
  <c r="R41" i="1"/>
  <c r="Q41" i="1"/>
  <c r="P41" i="1"/>
  <c r="O41" i="1"/>
  <c r="N41" i="1"/>
  <c r="AG40" i="1"/>
  <c r="R40" i="1"/>
  <c r="Q40" i="1"/>
  <c r="P40" i="1"/>
  <c r="O40" i="1"/>
  <c r="N40" i="1"/>
  <c r="AA40" i="1"/>
  <c r="AG38" i="1"/>
  <c r="R38" i="1"/>
  <c r="Q38" i="1"/>
  <c r="P38" i="1"/>
  <c r="O38" i="1"/>
  <c r="N38" i="1"/>
  <c r="AA38" i="1"/>
  <c r="AG37" i="1"/>
  <c r="R37" i="1"/>
  <c r="Q37" i="1"/>
  <c r="P37" i="1"/>
  <c r="O37" i="1"/>
  <c r="N37" i="1"/>
  <c r="AA37" i="1"/>
  <c r="AG36" i="1"/>
  <c r="R36" i="1"/>
  <c r="Q36" i="1"/>
  <c r="P36" i="1"/>
  <c r="O36" i="1"/>
  <c r="AA36" i="1"/>
  <c r="T35" i="1"/>
  <c r="AG35" i="1"/>
  <c r="T34" i="1"/>
  <c r="AG34" i="1"/>
  <c r="S33" i="1"/>
  <c r="T33" i="1" s="1"/>
  <c r="U33" i="1" s="1"/>
  <c r="AG32" i="1"/>
  <c r="R32" i="1"/>
  <c r="Q32" i="1"/>
  <c r="P32" i="1"/>
  <c r="O32" i="1"/>
  <c r="N32" i="1"/>
  <c r="AA32" i="1"/>
  <c r="AG31" i="1"/>
  <c r="S31" i="1" a="1"/>
  <c r="S31" i="1" s="1"/>
  <c r="T31" i="1" s="1"/>
  <c r="U31" i="1" s="1"/>
  <c r="T30" i="1"/>
  <c r="AG30" i="1"/>
  <c r="T29" i="1"/>
  <c r="AG29" i="1"/>
  <c r="T28" i="1"/>
  <c r="AG28" i="1"/>
  <c r="AG27" i="1"/>
  <c r="Q27" i="1"/>
  <c r="P27" i="1"/>
  <c r="AA27" i="1"/>
  <c r="AG26" i="1"/>
  <c r="S26" i="1" a="1"/>
  <c r="S26" i="1" s="1"/>
  <c r="T26" i="1" s="1"/>
  <c r="U26" i="1" s="1"/>
  <c r="T25" i="1"/>
  <c r="AG25" i="1"/>
  <c r="AG24" i="1"/>
  <c r="AG23" i="1"/>
  <c r="R23" i="1"/>
  <c r="Q23" i="1"/>
  <c r="P23" i="1"/>
  <c r="AA23" i="1"/>
  <c r="AG22" i="1"/>
  <c r="R22" i="1"/>
  <c r="Q22" i="1"/>
  <c r="P22" i="1"/>
  <c r="N22" i="1"/>
  <c r="AG21" i="1"/>
  <c r="R21" i="1"/>
  <c r="Q21" i="1"/>
  <c r="P21" i="1"/>
  <c r="O21" i="1"/>
  <c r="N21" i="1"/>
  <c r="AA21" i="1"/>
  <c r="AG20" i="1"/>
  <c r="R20" i="1"/>
  <c r="Q20" i="1"/>
  <c r="P20" i="1"/>
  <c r="O20" i="1"/>
  <c r="N20" i="1"/>
  <c r="AA20" i="1"/>
  <c r="T19" i="1"/>
  <c r="AG19" i="1"/>
  <c r="AG18" i="1"/>
  <c r="S18" i="1" a="1"/>
  <c r="S18" i="1" s="1"/>
  <c r="T18" i="1" s="1"/>
  <c r="U18" i="1" s="1"/>
  <c r="AA18" i="1"/>
  <c r="T17" i="1"/>
  <c r="AG17" i="1"/>
  <c r="AG16" i="1"/>
  <c r="R16" i="1"/>
  <c r="Q16" i="1"/>
  <c r="P16" i="1"/>
  <c r="O16" i="1"/>
  <c r="N16" i="1"/>
  <c r="AA16" i="1"/>
  <c r="T15" i="1"/>
  <c r="AG15" i="1"/>
  <c r="AG14" i="1"/>
  <c r="S14" i="1" a="1"/>
  <c r="S14" i="1" s="1"/>
  <c r="T14" i="1" s="1"/>
  <c r="U14" i="1" s="1"/>
  <c r="AA14" i="1"/>
  <c r="T13" i="1"/>
  <c r="AG13" i="1"/>
  <c r="AG12" i="1"/>
  <c r="S12" i="1" a="1"/>
  <c r="S12" i="1" s="1"/>
  <c r="T12" i="1" s="1"/>
  <c r="U12" i="1" s="1"/>
  <c r="AA12" i="1"/>
  <c r="AG11" i="1"/>
  <c r="S11" i="1" a="1"/>
  <c r="S11" i="1" s="1"/>
  <c r="T11" i="1" s="1"/>
  <c r="U11" i="1" s="1"/>
  <c r="T10" i="1"/>
  <c r="AG10" i="1"/>
  <c r="AG9" i="1"/>
  <c r="S9" i="1" a="1"/>
  <c r="S9" i="1" s="1"/>
  <c r="T9" i="1" s="1"/>
  <c r="U9" i="1" s="1"/>
  <c r="AA9" i="1"/>
  <c r="T8" i="1"/>
  <c r="AG8" i="1"/>
  <c r="AG7" i="1"/>
  <c r="S7" i="1" a="1"/>
  <c r="S7" i="1" s="1"/>
  <c r="T7" i="1" s="1"/>
  <c r="U7" i="1" s="1"/>
  <c r="AG6" i="1"/>
  <c r="S6" i="1" a="1"/>
  <c r="S6" i="1" s="1"/>
  <c r="T6" i="1" s="1"/>
  <c r="U6" i="1" s="1"/>
  <c r="AA6" i="1"/>
  <c r="T5" i="1"/>
  <c r="AG5" i="1"/>
  <c r="J33" i="1"/>
  <c r="K33" i="1"/>
  <c r="L33" i="1" s="1"/>
  <c r="J23" i="1"/>
  <c r="K23" i="1"/>
  <c r="L23" i="1" s="1"/>
  <c r="J20" i="1"/>
  <c r="K20" i="1"/>
  <c r="L20" i="1" s="1"/>
  <c r="J21" i="1"/>
  <c r="K21" i="1"/>
  <c r="L21" i="1" s="1"/>
  <c r="J18" i="1"/>
  <c r="K18" i="1"/>
  <c r="L18" i="1" s="1"/>
  <c r="J11" i="1"/>
  <c r="K11" i="1"/>
  <c r="L11" i="1" s="1"/>
  <c r="J9" i="1"/>
  <c r="K9" i="1"/>
  <c r="L9" i="1" s="1"/>
  <c r="K6" i="1"/>
  <c r="L6" i="1" s="1"/>
  <c r="K161" i="1"/>
  <c r="L161" i="1" s="1"/>
  <c r="J161" i="1"/>
  <c r="H161" i="1"/>
  <c r="K160" i="1"/>
  <c r="L160" i="1" s="1"/>
  <c r="J160" i="1"/>
  <c r="H160" i="1"/>
  <c r="K159" i="1"/>
  <c r="L159" i="1" s="1"/>
  <c r="J159" i="1"/>
  <c r="H159" i="1"/>
  <c r="K158" i="1"/>
  <c r="L158" i="1" s="1"/>
  <c r="J158" i="1"/>
  <c r="K157" i="1"/>
  <c r="L157" i="1" s="1"/>
  <c r="J157" i="1"/>
  <c r="H157" i="1"/>
  <c r="K156" i="1"/>
  <c r="L156" i="1" s="1"/>
  <c r="J156" i="1"/>
  <c r="H156" i="1"/>
  <c r="K155" i="1"/>
  <c r="L155" i="1" s="1"/>
  <c r="J155" i="1"/>
  <c r="H155" i="1"/>
  <c r="K154" i="1"/>
  <c r="L154" i="1" s="1"/>
  <c r="J154" i="1"/>
  <c r="K153" i="1"/>
  <c r="L153" i="1" s="1"/>
  <c r="J153" i="1"/>
  <c r="K152" i="1"/>
  <c r="L152" i="1" s="1"/>
  <c r="J152" i="1"/>
  <c r="K151" i="1"/>
  <c r="L151" i="1" s="1"/>
  <c r="J151" i="1"/>
  <c r="K150" i="1"/>
  <c r="L150" i="1" s="1"/>
  <c r="J150" i="1"/>
  <c r="K149" i="1"/>
  <c r="L149" i="1" s="1"/>
  <c r="J149" i="1"/>
  <c r="K148" i="1"/>
  <c r="L148" i="1" s="1"/>
  <c r="J148" i="1"/>
  <c r="K147" i="1"/>
  <c r="L147" i="1" s="1"/>
  <c r="J147" i="1"/>
  <c r="H147" i="1"/>
  <c r="K146" i="1"/>
  <c r="L146" i="1" s="1"/>
  <c r="J146" i="1"/>
  <c r="H146" i="1"/>
  <c r="K145" i="1"/>
  <c r="L145" i="1" s="1"/>
  <c r="J145" i="1"/>
  <c r="H145" i="1"/>
  <c r="K144" i="1"/>
  <c r="L144" i="1" s="1"/>
  <c r="J144" i="1"/>
  <c r="K143" i="1"/>
  <c r="L143" i="1" s="1"/>
  <c r="J143" i="1"/>
  <c r="H143" i="1"/>
  <c r="K142" i="1"/>
  <c r="L142" i="1" s="1"/>
  <c r="J142" i="1"/>
  <c r="H142" i="1"/>
  <c r="K141" i="1"/>
  <c r="L141" i="1" s="1"/>
  <c r="J141" i="1"/>
  <c r="H141" i="1"/>
  <c r="K140" i="1"/>
  <c r="L140" i="1" s="1"/>
  <c r="J140" i="1"/>
  <c r="H140" i="1"/>
  <c r="K139" i="1"/>
  <c r="L139" i="1" s="1"/>
  <c r="J139" i="1"/>
  <c r="H139" i="1"/>
  <c r="K138" i="1"/>
  <c r="L138" i="1" s="1"/>
  <c r="J138" i="1"/>
  <c r="K137" i="1"/>
  <c r="L137" i="1" s="1"/>
  <c r="J137" i="1"/>
  <c r="H137" i="1"/>
  <c r="K136" i="1"/>
  <c r="L136" i="1" s="1"/>
  <c r="J136" i="1"/>
  <c r="H136" i="1"/>
  <c r="K135" i="1"/>
  <c r="L135" i="1" s="1"/>
  <c r="J135" i="1"/>
  <c r="H135" i="1"/>
  <c r="K134" i="1"/>
  <c r="L134" i="1" s="1"/>
  <c r="J134" i="1"/>
  <c r="H134" i="1"/>
  <c r="K133" i="1"/>
  <c r="L133" i="1" s="1"/>
  <c r="J133" i="1"/>
  <c r="H133" i="1"/>
  <c r="K132" i="1"/>
  <c r="L132" i="1" s="1"/>
  <c r="J132" i="1"/>
  <c r="K131" i="1"/>
  <c r="L131" i="1" s="1"/>
  <c r="J131" i="1"/>
  <c r="H131" i="1"/>
  <c r="K130" i="1"/>
  <c r="L130" i="1" s="1"/>
  <c r="J130" i="1"/>
  <c r="H130" i="1"/>
  <c r="K129" i="1"/>
  <c r="L129" i="1" s="1"/>
  <c r="J129" i="1"/>
  <c r="H129" i="1"/>
  <c r="K128" i="1"/>
  <c r="L128" i="1" s="1"/>
  <c r="J128" i="1"/>
  <c r="G127" i="1"/>
  <c r="F127" i="1"/>
  <c r="E127" i="1"/>
  <c r="D127" i="1"/>
  <c r="C127" i="1"/>
  <c r="K126" i="1"/>
  <c r="L126" i="1" s="1"/>
  <c r="J126" i="1"/>
  <c r="H126" i="1"/>
  <c r="K125" i="1"/>
  <c r="L125" i="1" s="1"/>
  <c r="J125" i="1"/>
  <c r="H125" i="1"/>
  <c r="K124" i="1"/>
  <c r="L124" i="1" s="1"/>
  <c r="J124" i="1"/>
  <c r="H124" i="1"/>
  <c r="K123" i="1"/>
  <c r="L123" i="1" s="1"/>
  <c r="J123" i="1"/>
  <c r="H123" i="1"/>
  <c r="K122" i="1"/>
  <c r="L122" i="1" s="1"/>
  <c r="J122" i="1"/>
  <c r="H122" i="1"/>
  <c r="K121" i="1"/>
  <c r="L121" i="1" s="1"/>
  <c r="J121" i="1"/>
  <c r="H121" i="1"/>
  <c r="K120" i="1"/>
  <c r="L120" i="1" s="1"/>
  <c r="J120" i="1"/>
  <c r="H120" i="1"/>
  <c r="K119" i="1"/>
  <c r="L119" i="1" s="1"/>
  <c r="J119" i="1"/>
  <c r="H119" i="1"/>
  <c r="K118" i="1"/>
  <c r="L118" i="1" s="1"/>
  <c r="J118" i="1"/>
  <c r="H118" i="1"/>
  <c r="K116" i="1"/>
  <c r="L116" i="1" s="1"/>
  <c r="J116" i="1"/>
  <c r="H116" i="1"/>
  <c r="K115" i="1"/>
  <c r="L115" i="1" s="1"/>
  <c r="J115" i="1"/>
  <c r="K114" i="1"/>
  <c r="L114" i="1" s="1"/>
  <c r="J114" i="1"/>
  <c r="H114" i="1"/>
  <c r="K113" i="1"/>
  <c r="L113" i="1" s="1"/>
  <c r="J113" i="1"/>
  <c r="H113" i="1"/>
  <c r="K112" i="1"/>
  <c r="L112" i="1" s="1"/>
  <c r="J112" i="1"/>
  <c r="H112" i="1"/>
  <c r="K111" i="1"/>
  <c r="L111" i="1" s="1"/>
  <c r="J111" i="1"/>
  <c r="H111" i="1"/>
  <c r="K109" i="1"/>
  <c r="L109" i="1" s="1"/>
  <c r="J109" i="1"/>
  <c r="H109" i="1"/>
  <c r="K108" i="1"/>
  <c r="L108" i="1" s="1"/>
  <c r="J108" i="1"/>
  <c r="H108" i="1"/>
  <c r="K107" i="1"/>
  <c r="L107" i="1" s="1"/>
  <c r="J107" i="1"/>
  <c r="K106" i="1"/>
  <c r="L106" i="1" s="1"/>
  <c r="J106" i="1"/>
  <c r="H106" i="1"/>
  <c r="K105" i="1"/>
  <c r="L105" i="1" s="1"/>
  <c r="J105" i="1"/>
  <c r="H105" i="1"/>
  <c r="K104" i="1"/>
  <c r="L104" i="1" s="1"/>
  <c r="J104" i="1"/>
  <c r="H104" i="1"/>
  <c r="K103" i="1"/>
  <c r="L103" i="1" s="1"/>
  <c r="J103" i="1"/>
  <c r="H103" i="1"/>
  <c r="K102" i="1"/>
  <c r="L102" i="1" s="1"/>
  <c r="J102" i="1"/>
  <c r="K101" i="1"/>
  <c r="L101" i="1" s="1"/>
  <c r="J101" i="1"/>
  <c r="H101" i="1"/>
  <c r="K100" i="1"/>
  <c r="L100" i="1" s="1"/>
  <c r="J100" i="1"/>
  <c r="H100" i="1"/>
  <c r="K99" i="1"/>
  <c r="L99" i="1" s="1"/>
  <c r="J99" i="1"/>
  <c r="H99" i="1"/>
  <c r="K98" i="1"/>
  <c r="L98" i="1" s="1"/>
  <c r="J98" i="1"/>
  <c r="K97" i="1"/>
  <c r="L97" i="1" s="1"/>
  <c r="J97" i="1"/>
  <c r="H97" i="1"/>
  <c r="K96" i="1"/>
  <c r="L96" i="1" s="1"/>
  <c r="J96" i="1"/>
  <c r="K95" i="1"/>
  <c r="L95" i="1" s="1"/>
  <c r="J95" i="1"/>
  <c r="K94" i="1"/>
  <c r="L94" i="1" s="1"/>
  <c r="J94" i="1"/>
  <c r="H94" i="1"/>
  <c r="K93" i="1"/>
  <c r="L93" i="1" s="1"/>
  <c r="J93" i="1"/>
  <c r="K92" i="1"/>
  <c r="L92" i="1" s="1"/>
  <c r="J92" i="1"/>
  <c r="H92" i="1"/>
  <c r="K91" i="1"/>
  <c r="L91" i="1" s="1"/>
  <c r="J91" i="1"/>
  <c r="H91" i="1"/>
  <c r="K90" i="1"/>
  <c r="L90" i="1" s="1"/>
  <c r="J90" i="1"/>
  <c r="K89" i="1"/>
  <c r="L89" i="1" s="1"/>
  <c r="J89" i="1"/>
  <c r="H89" i="1"/>
  <c r="K88" i="1"/>
  <c r="L88" i="1" s="1"/>
  <c r="J88" i="1"/>
  <c r="K87" i="1"/>
  <c r="L87" i="1" s="1"/>
  <c r="J87" i="1"/>
  <c r="H87" i="1"/>
  <c r="K86" i="1"/>
  <c r="L86" i="1" s="1"/>
  <c r="J86" i="1"/>
  <c r="H86" i="1"/>
  <c r="K85" i="1"/>
  <c r="L85" i="1" s="1"/>
  <c r="J85" i="1"/>
  <c r="H85" i="1"/>
  <c r="G83" i="1"/>
  <c r="F83" i="1"/>
  <c r="E83" i="1"/>
  <c r="D83" i="1"/>
  <c r="C83" i="1"/>
  <c r="K83" i="1" s="1"/>
  <c r="K82" i="1"/>
  <c r="L82" i="1" s="1"/>
  <c r="J82" i="1"/>
  <c r="H82" i="1"/>
  <c r="K81" i="1"/>
  <c r="L81" i="1" s="1"/>
  <c r="J81" i="1"/>
  <c r="H81" i="1"/>
  <c r="K80" i="1"/>
  <c r="L80" i="1" s="1"/>
  <c r="J80" i="1"/>
  <c r="H80" i="1"/>
  <c r="K79" i="1"/>
  <c r="L79" i="1" s="1"/>
  <c r="H79" i="1"/>
  <c r="K78" i="1"/>
  <c r="L78" i="1" s="1"/>
  <c r="J78" i="1"/>
  <c r="H78" i="1"/>
  <c r="K77" i="1"/>
  <c r="L77" i="1" s="1"/>
  <c r="J77" i="1"/>
  <c r="H77" i="1"/>
  <c r="K76" i="1"/>
  <c r="L76" i="1" s="1"/>
  <c r="J76" i="1"/>
  <c r="H76" i="1"/>
  <c r="K74" i="1"/>
  <c r="L74" i="1" s="1"/>
  <c r="J74" i="1"/>
  <c r="H74" i="1"/>
  <c r="K73" i="1"/>
  <c r="L73" i="1" s="1"/>
  <c r="J73" i="1"/>
  <c r="H73" i="1"/>
  <c r="K72" i="1"/>
  <c r="L72" i="1" s="1"/>
  <c r="J72" i="1"/>
  <c r="H72" i="1"/>
  <c r="K70" i="1"/>
  <c r="L70" i="1" s="1"/>
  <c r="J70" i="1"/>
  <c r="H70" i="1"/>
  <c r="K69" i="1"/>
  <c r="L69" i="1" s="1"/>
  <c r="J69" i="1"/>
  <c r="H69" i="1"/>
  <c r="K68" i="1"/>
  <c r="L68" i="1" s="1"/>
  <c r="J68" i="1"/>
  <c r="H68" i="1"/>
  <c r="K67" i="1"/>
  <c r="L67" i="1" s="1"/>
  <c r="J67" i="1"/>
  <c r="K66" i="1"/>
  <c r="L66" i="1" s="1"/>
  <c r="J66" i="1"/>
  <c r="K65" i="1"/>
  <c r="L65" i="1" s="1"/>
  <c r="J65" i="1"/>
  <c r="H65" i="1"/>
  <c r="K64" i="1"/>
  <c r="L64" i="1" s="1"/>
  <c r="J64" i="1"/>
  <c r="K63" i="1"/>
  <c r="L63" i="1" s="1"/>
  <c r="J63" i="1"/>
  <c r="K62" i="1"/>
  <c r="L62" i="1" s="1"/>
  <c r="J62" i="1"/>
  <c r="H62" i="1"/>
  <c r="K61" i="1"/>
  <c r="L61" i="1" s="1"/>
  <c r="J61" i="1"/>
  <c r="K60" i="1"/>
  <c r="L60" i="1" s="1"/>
  <c r="J60" i="1"/>
  <c r="K59" i="1"/>
  <c r="L59" i="1" s="1"/>
  <c r="J59" i="1"/>
  <c r="H59" i="1"/>
  <c r="K58" i="1"/>
  <c r="L58" i="1" s="1"/>
  <c r="J58" i="1"/>
  <c r="H58" i="1"/>
  <c r="K57" i="1"/>
  <c r="L57" i="1" s="1"/>
  <c r="J57" i="1"/>
  <c r="H57" i="1"/>
  <c r="K56" i="1"/>
  <c r="L56" i="1" s="1"/>
  <c r="J56" i="1"/>
  <c r="H56" i="1"/>
  <c r="G55" i="1"/>
  <c r="F55" i="1"/>
  <c r="E55" i="1"/>
  <c r="D55" i="1"/>
  <c r="C55" i="1"/>
  <c r="K54" i="1"/>
  <c r="L54" i="1" s="1"/>
  <c r="J54" i="1"/>
  <c r="H54" i="1"/>
  <c r="K53" i="1"/>
  <c r="L53" i="1" s="1"/>
  <c r="J53" i="1"/>
  <c r="H53" i="1"/>
  <c r="K52" i="1"/>
  <c r="L52" i="1" s="1"/>
  <c r="J52" i="1"/>
  <c r="H52" i="1"/>
  <c r="K51" i="1"/>
  <c r="L51" i="1" s="1"/>
  <c r="J51" i="1"/>
  <c r="H51" i="1"/>
  <c r="K50" i="1"/>
  <c r="L50" i="1" s="1"/>
  <c r="J50" i="1"/>
  <c r="H50" i="1"/>
  <c r="K49" i="1"/>
  <c r="L49" i="1" s="1"/>
  <c r="J49" i="1"/>
  <c r="H49" i="1"/>
  <c r="K48" i="1"/>
  <c r="L48" i="1" s="1"/>
  <c r="J48" i="1"/>
  <c r="H48" i="1"/>
  <c r="K47" i="1"/>
  <c r="L47" i="1" s="1"/>
  <c r="J47" i="1"/>
  <c r="H47" i="1"/>
  <c r="K46" i="1"/>
  <c r="L46" i="1" s="1"/>
  <c r="J46" i="1"/>
  <c r="H46" i="1"/>
  <c r="K45" i="1"/>
  <c r="L45" i="1" s="1"/>
  <c r="J45" i="1"/>
  <c r="H45" i="1"/>
  <c r="K43" i="1"/>
  <c r="L43" i="1" s="1"/>
  <c r="J43" i="1"/>
  <c r="H43" i="1"/>
  <c r="K42" i="1"/>
  <c r="L42" i="1" s="1"/>
  <c r="J42" i="1"/>
  <c r="H42" i="1"/>
  <c r="K41" i="1"/>
  <c r="L41" i="1" s="1"/>
  <c r="J41" i="1"/>
  <c r="K40" i="1"/>
  <c r="L40" i="1" s="1"/>
  <c r="J40" i="1"/>
  <c r="H40" i="1"/>
  <c r="K38" i="1"/>
  <c r="L38" i="1" s="1"/>
  <c r="J38" i="1"/>
  <c r="K37" i="1"/>
  <c r="L37" i="1" s="1"/>
  <c r="J37" i="1"/>
  <c r="H37" i="1"/>
  <c r="K36" i="1"/>
  <c r="L36" i="1" s="1"/>
  <c r="J36" i="1"/>
  <c r="K35" i="1"/>
  <c r="L35" i="1" s="1"/>
  <c r="J35" i="1"/>
  <c r="H35" i="1"/>
  <c r="K34" i="1"/>
  <c r="L34" i="1" s="1"/>
  <c r="J34" i="1"/>
  <c r="H34" i="1"/>
  <c r="K32" i="1"/>
  <c r="L32" i="1" s="1"/>
  <c r="J32" i="1"/>
  <c r="H32" i="1"/>
  <c r="K31" i="1"/>
  <c r="L31" i="1" s="1"/>
  <c r="J31" i="1"/>
  <c r="H31" i="1"/>
  <c r="K30" i="1"/>
  <c r="L30" i="1" s="1"/>
  <c r="J30" i="1"/>
  <c r="H30" i="1"/>
  <c r="K29" i="1"/>
  <c r="L29" i="1" s="1"/>
  <c r="J29" i="1"/>
  <c r="H29" i="1"/>
  <c r="K28" i="1"/>
  <c r="L28" i="1" s="1"/>
  <c r="J28" i="1"/>
  <c r="H28" i="1"/>
  <c r="K27" i="1"/>
  <c r="L27" i="1" s="1"/>
  <c r="J27" i="1"/>
  <c r="H27" i="1"/>
  <c r="K26" i="1"/>
  <c r="L26" i="1" s="1"/>
  <c r="J26" i="1"/>
  <c r="H26" i="1"/>
  <c r="K25" i="1"/>
  <c r="L25" i="1" s="1"/>
  <c r="J25" i="1"/>
  <c r="H25" i="1"/>
  <c r="K24" i="1"/>
  <c r="L24" i="1" s="1"/>
  <c r="J24" i="1"/>
  <c r="H24" i="1"/>
  <c r="K22" i="1"/>
  <c r="L22" i="1" s="1"/>
  <c r="J22" i="1"/>
  <c r="H22" i="1"/>
  <c r="G19" i="1"/>
  <c r="E19" i="1"/>
  <c r="D19" i="1"/>
  <c r="C19" i="1"/>
  <c r="K19" i="1" s="1"/>
  <c r="K17" i="1"/>
  <c r="L17" i="1" s="1"/>
  <c r="J17" i="1"/>
  <c r="H17" i="1"/>
  <c r="K16" i="1"/>
  <c r="L16" i="1" s="1"/>
  <c r="J16" i="1"/>
  <c r="H16" i="1"/>
  <c r="K15" i="1"/>
  <c r="L15" i="1" s="1"/>
  <c r="J15" i="1"/>
  <c r="H15" i="1"/>
  <c r="K14" i="1"/>
  <c r="L14" i="1" s="1"/>
  <c r="J14" i="1"/>
  <c r="H14" i="1"/>
  <c r="K13" i="1"/>
  <c r="L13" i="1" s="1"/>
  <c r="J13" i="1"/>
  <c r="H13" i="1"/>
  <c r="K12" i="1"/>
  <c r="L12" i="1" s="1"/>
  <c r="J12" i="1"/>
  <c r="H12" i="1"/>
  <c r="K10" i="1"/>
  <c r="L10" i="1" s="1"/>
  <c r="J10" i="1"/>
  <c r="H10" i="1"/>
  <c r="K8" i="1"/>
  <c r="L8" i="1" s="1"/>
  <c r="J8" i="1"/>
  <c r="H8" i="1"/>
  <c r="K7" i="1"/>
  <c r="L7" i="1" s="1"/>
  <c r="J7" i="1"/>
  <c r="H7" i="1"/>
  <c r="K5" i="1"/>
  <c r="L5" i="1" s="1"/>
  <c r="H5" i="1"/>
  <c r="L117" i="1" l="1"/>
  <c r="H117" i="1"/>
  <c r="J117" i="1"/>
  <c r="D38" i="4"/>
  <c r="E38" i="4" s="1"/>
  <c r="E40" i="4"/>
  <c r="E41" i="4"/>
  <c r="E39" i="4"/>
  <c r="E30" i="5"/>
  <c r="D28" i="5"/>
  <c r="E28" i="5" s="1"/>
  <c r="E29" i="5"/>
  <c r="E31" i="5"/>
  <c r="D23" i="5"/>
  <c r="E23" i="5"/>
  <c r="G23" i="5"/>
  <c r="D33" i="4"/>
  <c r="E33" i="4"/>
  <c r="F33" i="4"/>
  <c r="G33" i="4"/>
  <c r="I117" i="1"/>
  <c r="I193" i="1"/>
  <c r="E163" i="1"/>
  <c r="G163" i="1"/>
  <c r="D173" i="1" s="1"/>
  <c r="D163" i="1"/>
  <c r="F163" i="1"/>
  <c r="C163" i="1"/>
  <c r="B173" i="1" s="1"/>
  <c r="C173" i="1" s="1"/>
  <c r="I83" i="1"/>
  <c r="I19" i="1"/>
  <c r="I55" i="1"/>
  <c r="I127" i="1"/>
  <c r="D181" i="1"/>
  <c r="AA5" i="1"/>
  <c r="AA68" i="1"/>
  <c r="AA122" i="1"/>
  <c r="AA56" i="1"/>
  <c r="AA118" i="1"/>
  <c r="AA125" i="1"/>
  <c r="AA87" i="1"/>
  <c r="AA57" i="1"/>
  <c r="AA106" i="1"/>
  <c r="AA133" i="1"/>
  <c r="AA149" i="1"/>
  <c r="S39" i="1" a="1"/>
  <c r="S39" i="1" s="1"/>
  <c r="T39" i="1" s="1"/>
  <c r="U39" i="1" s="1"/>
  <c r="S155" i="1" a="1"/>
  <c r="S155" i="1" s="1"/>
  <c r="T155" i="1" s="1"/>
  <c r="U155" i="1" s="1"/>
  <c r="AA42" i="1"/>
  <c r="S80" i="1" a="1"/>
  <c r="S80" i="1" s="1"/>
  <c r="T80" i="1" s="1"/>
  <c r="U80" i="1" s="1"/>
  <c r="AA113" i="1"/>
  <c r="AA129" i="1"/>
  <c r="S79" i="1" a="1"/>
  <c r="S79" i="1" s="1"/>
  <c r="T79" i="1" s="1"/>
  <c r="U79" i="1" s="1"/>
  <c r="AA135" i="1"/>
  <c r="S161" i="1" a="1"/>
  <c r="S161" i="1" s="1"/>
  <c r="T161" i="1" s="1"/>
  <c r="U161" i="1" s="1"/>
  <c r="P111" i="1"/>
  <c r="S97" i="1" a="1"/>
  <c r="S97" i="1" s="1"/>
  <c r="T97" i="1" s="1"/>
  <c r="U97" i="1" s="1"/>
  <c r="R111" i="1"/>
  <c r="S27" i="1" a="1"/>
  <c r="S27" i="1" s="1"/>
  <c r="T27" i="1" s="1"/>
  <c r="U27" i="1" s="1"/>
  <c r="S32" i="1" a="1"/>
  <c r="S32" i="1" s="1"/>
  <c r="T32" i="1" s="1"/>
  <c r="U32" i="1" s="1"/>
  <c r="R56" i="1"/>
  <c r="P56" i="1"/>
  <c r="S63" i="1" a="1"/>
  <c r="S63" i="1" s="1"/>
  <c r="T63" i="1" s="1"/>
  <c r="U63" i="1" s="1"/>
  <c r="S83" i="1" a="1"/>
  <c r="S83" i="1" s="1"/>
  <c r="T83" i="1" s="1"/>
  <c r="U83" i="1" s="1"/>
  <c r="AG111" i="1"/>
  <c r="S23" i="1" a="1"/>
  <c r="S23" i="1" s="1"/>
  <c r="T23" i="1" s="1"/>
  <c r="U23" i="1" s="1"/>
  <c r="S37" i="1" a="1"/>
  <c r="S37" i="1" s="1"/>
  <c r="T37" i="1" s="1"/>
  <c r="U37" i="1" s="1"/>
  <c r="S130" i="1" a="1"/>
  <c r="S130" i="1" s="1"/>
  <c r="T130" i="1" s="1"/>
  <c r="U130" i="1" s="1"/>
  <c r="AA26" i="1"/>
  <c r="S40" i="1" a="1"/>
  <c r="S40" i="1" s="1"/>
  <c r="T40" i="1" s="1"/>
  <c r="U40" i="1" s="1"/>
  <c r="S88" i="1" a="1"/>
  <c r="S88" i="1" s="1"/>
  <c r="T88" i="1" s="1"/>
  <c r="U88" i="1" s="1"/>
  <c r="O111" i="1"/>
  <c r="AA136" i="1"/>
  <c r="N56" i="1"/>
  <c r="AA7" i="1"/>
  <c r="AA17" i="1"/>
  <c r="AA25" i="1"/>
  <c r="AA29" i="1"/>
  <c r="AA34" i="1"/>
  <c r="AA43" i="1"/>
  <c r="AA47" i="1"/>
  <c r="AA52" i="1"/>
  <c r="AA54" i="1"/>
  <c r="AA58" i="1"/>
  <c r="S67" i="1" a="1"/>
  <c r="S67" i="1" s="1"/>
  <c r="T67" i="1" s="1"/>
  <c r="U67" i="1" s="1"/>
  <c r="AA82" i="1"/>
  <c r="S90" i="1" a="1"/>
  <c r="S90" i="1" s="1"/>
  <c r="T90" i="1" s="1"/>
  <c r="U90" i="1" s="1"/>
  <c r="AA99" i="1"/>
  <c r="AA101" i="1"/>
  <c r="AA131" i="1"/>
  <c r="S16" i="1" a="1"/>
  <c r="S16" i="1" s="1"/>
  <c r="T16" i="1" s="1"/>
  <c r="U16" i="1" s="1"/>
  <c r="S36" i="1" a="1"/>
  <c r="S36" i="1" s="1"/>
  <c r="T36" i="1" s="1"/>
  <c r="U36" i="1" s="1"/>
  <c r="O56" i="1"/>
  <c r="AA62" i="1"/>
  <c r="AA72" i="1"/>
  <c r="AA74" i="1"/>
  <c r="AA78" i="1"/>
  <c r="AA93" i="1"/>
  <c r="Q111" i="1"/>
  <c r="S126" i="1" a="1"/>
  <c r="S126" i="1" s="1"/>
  <c r="T126" i="1" s="1"/>
  <c r="U126" i="1" s="1"/>
  <c r="S128" i="1" a="1"/>
  <c r="S128" i="1" s="1"/>
  <c r="T128" i="1" s="1"/>
  <c r="U128" i="1" s="1"/>
  <c r="AA138" i="1"/>
  <c r="S147" i="1" a="1"/>
  <c r="S147" i="1" s="1"/>
  <c r="T147" i="1" s="1"/>
  <c r="U147" i="1" s="1"/>
  <c r="AA8" i="1"/>
  <c r="AA13" i="1"/>
  <c r="AA19" i="1"/>
  <c r="S20" i="1" a="1"/>
  <c r="S20" i="1" s="1"/>
  <c r="T20" i="1" s="1"/>
  <c r="U20" i="1" s="1"/>
  <c r="AA30" i="1"/>
  <c r="AA35" i="1"/>
  <c r="AA48" i="1"/>
  <c r="AA50" i="1"/>
  <c r="S51" i="1" a="1"/>
  <c r="S51" i="1" s="1"/>
  <c r="T51" i="1" s="1"/>
  <c r="U51" i="1" s="1"/>
  <c r="AA55" i="1"/>
  <c r="AA59" i="1"/>
  <c r="AA89" i="1"/>
  <c r="AA100" i="1"/>
  <c r="S108" i="1" a="1"/>
  <c r="S108" i="1" s="1"/>
  <c r="T108" i="1" s="1"/>
  <c r="U108" i="1" s="1"/>
  <c r="AA127" i="1"/>
  <c r="AA134" i="1"/>
  <c r="AA146" i="1"/>
  <c r="AA15" i="1"/>
  <c r="Q56" i="1"/>
  <c r="AA65" i="1"/>
  <c r="S92" i="1" a="1"/>
  <c r="S92" i="1" s="1"/>
  <c r="T92" i="1" s="1"/>
  <c r="U92" i="1" s="1"/>
  <c r="AA104" i="1"/>
  <c r="AA111" i="1"/>
  <c r="N111" i="1"/>
  <c r="AA116" i="1"/>
  <c r="AA120" i="1"/>
  <c r="Q154" i="1"/>
  <c r="AA159" i="1"/>
  <c r="AA10" i="1"/>
  <c r="S21" i="1" a="1"/>
  <c r="S21" i="1" s="1"/>
  <c r="T21" i="1" s="1"/>
  <c r="U21" i="1" s="1"/>
  <c r="S24" i="1"/>
  <c r="T24" i="1" s="1"/>
  <c r="U24" i="1" s="1"/>
  <c r="AA28" i="1"/>
  <c r="AA31" i="1"/>
  <c r="S38" i="1" a="1"/>
  <c r="S38" i="1" s="1"/>
  <c r="T38" i="1" s="1"/>
  <c r="U38" i="1" s="1"/>
  <c r="AA45" i="1"/>
  <c r="S46" i="1" a="1"/>
  <c r="S46" i="1" s="1"/>
  <c r="T46" i="1" s="1"/>
  <c r="U46" i="1" s="1"/>
  <c r="S96" i="1" a="1"/>
  <c r="S96" i="1" s="1"/>
  <c r="T96" i="1" s="1"/>
  <c r="U96" i="1" s="1"/>
  <c r="AA139" i="1"/>
  <c r="S140" i="1" a="1"/>
  <c r="S140" i="1" s="1"/>
  <c r="T140" i="1" s="1"/>
  <c r="U140" i="1" s="1"/>
  <c r="AG56" i="1"/>
  <c r="AA70" i="1"/>
  <c r="AA81" i="1"/>
  <c r="AA91" i="1"/>
  <c r="S107" i="1" a="1"/>
  <c r="S107" i="1" s="1"/>
  <c r="T107" i="1" s="1"/>
  <c r="U107" i="1" s="1"/>
  <c r="O132" i="1"/>
  <c r="S41" i="1" a="1"/>
  <c r="S41" i="1" s="1"/>
  <c r="T41" i="1" s="1"/>
  <c r="U41" i="1" s="1"/>
  <c r="S61" i="1" a="1"/>
  <c r="S61" i="1" s="1"/>
  <c r="T61" i="1" s="1"/>
  <c r="U61" i="1" s="1"/>
  <c r="AA140" i="1"/>
  <c r="AA61" i="1"/>
  <c r="S95" i="1" a="1"/>
  <c r="S95" i="1" s="1"/>
  <c r="T95" i="1" s="1"/>
  <c r="U95" i="1" s="1"/>
  <c r="AA95" i="1"/>
  <c r="AA145" i="1"/>
  <c r="AA105" i="1"/>
  <c r="AA144" i="1"/>
  <c r="S144" i="1" a="1"/>
  <c r="S144" i="1" s="1"/>
  <c r="T144" i="1" s="1"/>
  <c r="U144" i="1" s="1"/>
  <c r="AA156" i="1"/>
  <c r="O154" i="1"/>
  <c r="S115" i="1" a="1"/>
  <c r="S115" i="1" s="1"/>
  <c r="T115" i="1" s="1"/>
  <c r="U115" i="1" s="1"/>
  <c r="AA141" i="1"/>
  <c r="S143" i="1" a="1"/>
  <c r="S143" i="1" s="1"/>
  <c r="T143" i="1" s="1"/>
  <c r="U143" i="1" s="1"/>
  <c r="S150" i="1" a="1"/>
  <c r="S150" i="1" s="1"/>
  <c r="T150" i="1" s="1"/>
  <c r="U150" i="1" s="1"/>
  <c r="N94" i="1"/>
  <c r="S117" i="1" a="1"/>
  <c r="S117" i="1" s="1"/>
  <c r="T117" i="1" s="1"/>
  <c r="U117" i="1" s="1"/>
  <c r="AA41" i="1"/>
  <c r="AA103" i="1"/>
  <c r="S119" i="1" a="1"/>
  <c r="S119" i="1" s="1"/>
  <c r="T119" i="1" s="1"/>
  <c r="U119" i="1" s="1"/>
  <c r="AA153" i="1"/>
  <c r="T77" i="1"/>
  <c r="AA86" i="1"/>
  <c r="AA114" i="1"/>
  <c r="AA121" i="1"/>
  <c r="AA123" i="1"/>
  <c r="N132" i="1"/>
  <c r="P154" i="1"/>
  <c r="R154" i="1"/>
  <c r="O94" i="1"/>
  <c r="O109" i="1"/>
  <c r="S109" i="1" s="1" a="1"/>
  <c r="S109" i="1" s="1"/>
  <c r="T109" i="1" s="1"/>
  <c r="U109" i="1" s="1"/>
  <c r="AA126" i="1"/>
  <c r="AA150" i="1"/>
  <c r="L83" i="1"/>
  <c r="J83" i="1"/>
  <c r="H127" i="1"/>
  <c r="J19" i="1"/>
  <c r="H83" i="1"/>
  <c r="J55" i="1"/>
  <c r="H19" i="1"/>
  <c r="H55" i="1"/>
  <c r="K55" i="1"/>
  <c r="L55" i="1" s="1"/>
  <c r="J127" i="1"/>
  <c r="L19" i="1"/>
  <c r="K127" i="1"/>
  <c r="L127" i="1" s="1"/>
  <c r="J163" i="1" l="1"/>
  <c r="E173" i="1"/>
  <c r="H163" i="1"/>
  <c r="AA132" i="1"/>
  <c r="S132" i="1" a="1"/>
  <c r="S132" i="1" s="1"/>
  <c r="T132" i="1" s="1"/>
  <c r="U132" i="1" s="1"/>
  <c r="AA11" i="1"/>
  <c r="S56" i="1" a="1"/>
  <c r="S56" i="1" s="1"/>
  <c r="T56" i="1" s="1"/>
  <c r="U56" i="1" s="1"/>
  <c r="AA109" i="1"/>
  <c r="S111" i="1" a="1"/>
  <c r="S111" i="1" s="1"/>
  <c r="T111" i="1" s="1"/>
  <c r="U111" i="1" s="1"/>
  <c r="S94" i="1" a="1"/>
  <c r="S94" i="1" s="1"/>
  <c r="T94" i="1" s="1"/>
  <c r="U94" i="1" s="1"/>
  <c r="AA154" i="1"/>
  <c r="S154" i="1" a="1"/>
  <c r="S154" i="1" s="1"/>
  <c r="T154" i="1" s="1"/>
  <c r="U154" i="1" s="1"/>
  <c r="O22" i="1"/>
  <c r="S22" i="1" s="1" a="1"/>
  <c r="S22" i="1" s="1"/>
  <c r="T22" i="1" s="1"/>
  <c r="U22" i="1" s="1"/>
  <c r="AA22" i="1"/>
  <c r="AA94" i="1"/>
  <c r="C180" i="1" l="1"/>
  <c r="D180" i="1" s="1"/>
  <c r="C179" i="1"/>
  <c r="D179" i="1" s="1"/>
  <c r="C178" i="1"/>
  <c r="C177" i="1" l="1"/>
  <c r="D177" i="1" s="1"/>
  <c r="D178" i="1"/>
  <c r="L163" i="1" l="1"/>
  <c r="L164" i="1" s="1"/>
  <c r="B163" i="1"/>
  <c r="K163" i="1"/>
  <c r="J164" i="1" l="1"/>
  <c r="F164" i="1" l="1"/>
  <c r="G165" i="1"/>
  <c r="F165" i="1"/>
  <c r="E165" i="1"/>
  <c r="D165" i="1"/>
  <c r="C165" i="1"/>
  <c r="G164" i="1"/>
  <c r="D164" i="1"/>
  <c r="E164" i="1"/>
  <c r="J2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<sst xmlns="http://schemas.openxmlformats.org/spreadsheetml/2006/main" count="1051" uniqueCount="280">
  <si>
    <t>Local authority</t>
  </si>
  <si>
    <t>Response?</t>
  </si>
  <si>
    <t>2016/17</t>
  </si>
  <si>
    <t>2017/18</t>
  </si>
  <si>
    <t>2018/19</t>
  </si>
  <si>
    <t>2019/20</t>
  </si>
  <si>
    <t>2020/21</t>
  </si>
  <si>
    <t>Total</t>
  </si>
  <si>
    <t>Aberdeen</t>
  </si>
  <si>
    <t>Aberdeenshire</t>
  </si>
  <si>
    <t>Angus</t>
  </si>
  <si>
    <t>Argyll and Bute</t>
  </si>
  <si>
    <t>Yes</t>
  </si>
  <si>
    <t>Barnet</t>
  </si>
  <si>
    <t>Barnsley</t>
  </si>
  <si>
    <t>Bath and North East Somerset</t>
  </si>
  <si>
    <t>Bedford</t>
  </si>
  <si>
    <t>Bedfordshire</t>
  </si>
  <si>
    <t>Bexley</t>
  </si>
  <si>
    <t>Birmingham</t>
  </si>
  <si>
    <t>Blackburn</t>
  </si>
  <si>
    <t>Blackpool</t>
  </si>
  <si>
    <t>Blaenau Gwent</t>
  </si>
  <si>
    <t>Bolton</t>
  </si>
  <si>
    <t>Bournemouth</t>
  </si>
  <si>
    <t>Bracknell Forest</t>
  </si>
  <si>
    <t>Bradford</t>
  </si>
  <si>
    <t>Brent</t>
  </si>
  <si>
    <t>Bridgend (Pen-y-bont ar Ogwr) †</t>
  </si>
  <si>
    <t>Brighton and Hove</t>
  </si>
  <si>
    <t>Bristol</t>
  </si>
  <si>
    <t>Bromley</t>
  </si>
  <si>
    <t>Buckinghamshire</t>
  </si>
  <si>
    <t>Bury</t>
  </si>
  <si>
    <t>Caerphilly (Caerffili) †</t>
  </si>
  <si>
    <t>Calderdale</t>
  </si>
  <si>
    <t>Cambridgeshire</t>
  </si>
  <si>
    <t>Camden</t>
  </si>
  <si>
    <t>Cardiff (Caerdydd) *</t>
  </si>
  <si>
    <t>Carmarthenshire (Sir Gaerfyrddin)</t>
  </si>
  <si>
    <t>Central Bedfordshire</t>
  </si>
  <si>
    <t>Ceredigion</t>
  </si>
  <si>
    <t>Cheshire</t>
  </si>
  <si>
    <t>Cheshire East</t>
  </si>
  <si>
    <t>Cheshire West and Chester</t>
  </si>
  <si>
    <t>City of London</t>
  </si>
  <si>
    <t>Clackmannanshire</t>
  </si>
  <si>
    <t>Conwy †</t>
  </si>
  <si>
    <t>Cornwall</t>
  </si>
  <si>
    <t>Coventry</t>
  </si>
  <si>
    <t>Croydon</t>
  </si>
  <si>
    <t>Cumbria</t>
  </si>
  <si>
    <t>Darlington</t>
  </si>
  <si>
    <t>Denbighshire (Sir Ddinbych)</t>
  </si>
  <si>
    <t>Derby</t>
  </si>
  <si>
    <t>Derbyshire</t>
  </si>
  <si>
    <t>Devon</t>
  </si>
  <si>
    <t>Doncaster</t>
  </si>
  <si>
    <t>Dorset</t>
  </si>
  <si>
    <t>Dudley</t>
  </si>
  <si>
    <t>Dumfries and Galloway</t>
  </si>
  <si>
    <t>Dundee</t>
  </si>
  <si>
    <t>Durham</t>
  </si>
  <si>
    <t>Ealing</t>
  </si>
  <si>
    <t>East Ayrshire</t>
  </si>
  <si>
    <t>East Dunbartonshire</t>
  </si>
  <si>
    <t>East Lothian</t>
  </si>
  <si>
    <t>East Renfrewshire</t>
  </si>
  <si>
    <t>East Riding of Yorkshire</t>
  </si>
  <si>
    <t>East Sussex</t>
  </si>
  <si>
    <t>Edinburgh</t>
  </si>
  <si>
    <t>Enfield</t>
  </si>
  <si>
    <t>Essex</t>
  </si>
  <si>
    <t>Falkirk</t>
  </si>
  <si>
    <t>Fife</t>
  </si>
  <si>
    <t>Flintshire (Sir y Fflint)</t>
  </si>
  <si>
    <t>Gateshead</t>
  </si>
  <si>
    <t>Glasgow</t>
  </si>
  <si>
    <t>Gloucestershire</t>
  </si>
  <si>
    <t>Greenwich</t>
  </si>
  <si>
    <t>Gwynedd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</si>
  <si>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</si>
  <si>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</si>
  <si>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</si>
  <si>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</si>
  <si>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</si>
  <si>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</si>
  <si>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</si>
  <si>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</si>
  <si>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</t>
  </si>
  <si>
    <t>Hertfordshire</t>
  </si>
  <si>
    <t>Highland</t>
  </si>
  <si>
    <t>Hillingdon</t>
  </si>
  <si>
    <t>Hounslow</t>
  </si>
  <si>
    <t>Inverclyde</t>
  </si>
  <si>
    <t>Isle of Anglesey (Ynys Môn)</t>
  </si>
  <si>
    <t>Isle of Wight</t>
  </si>
  <si>
    <t>Isles of Scilly</t>
  </si>
  <si>
    <t>Islington</t>
  </si>
  <si>
    <t>Kensington and Chelsea</t>
  </si>
  <si>
    <t>Kent</t>
  </si>
  <si>
    <t>Kingston-upon-Hull</t>
  </si>
  <si>
    <t>Kingston-upon-Thames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</si>
  <si>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</si>
  <si>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</si>
  <si>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</si>
  <si>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</si>
  <si>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</si>
  <si>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</si>
  <si>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</si>
  <si>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</si>
  <si>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</si>
  <si>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</si>
  <si>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</si>
  <si>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Maidenhead</t>
  </si>
  <si>
    <t>Manchester</t>
  </si>
  <si>
    <t>Medway</t>
  </si>
  <si>
    <t>Merthyr Tydfil (Merthyr Tudful) †</t>
  </si>
  <si>
    <t>Merton</t>
  </si>
  <si>
    <t>Middlesbrough</t>
  </si>
  <si>
    <t>Midlothian</t>
  </si>
  <si>
    <t>Milton Keynes</t>
  </si>
  <si>
    <t>Monmouthshire (Sir Fynwy)</t>
  </si>
  <si>
    <t>Moray</t>
  </si>
  <si>
    <t>Na h-Eileanan Siar</t>
  </si>
  <si>
    <t>Neath Port Talbot (Castell-nedd Port Talbot) †</t>
  </si>
  <si>
    <t>Newcastle</t>
  </si>
  <si>
    <t>Newham</t>
  </si>
  <si>
    <t>Newport (Casnewydd) *</t>
  </si>
  <si>
    <t>Norfolk</t>
  </si>
  <si>
    <t>North Ayrshire</t>
  </si>
  <si>
    <t>North East Lincolnshire</t>
  </si>
  <si>
    <t>North Lanarkshire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</si>
  <si>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</si>
  <si>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</si>
  <si>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</si>
  <si>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</si>
  <si>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</si>
  <si>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</si>
  <si>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Norwich</t>
  </si>
  <si>
    <t>Nottingham</t>
  </si>
  <si>
    <t>Nottinghamshire</t>
  </si>
  <si>
    <t>Oldham</t>
  </si>
  <si>
    <t>Orkney</t>
  </si>
  <si>
    <t>Oxfordshire</t>
  </si>
  <si>
    <t>Pembrokeshire (Sir Benfro)</t>
  </si>
  <si>
    <t>Perth and Kinross</t>
  </si>
  <si>
    <t>Peterborough</t>
  </si>
  <si>
    <t>Plymouth</t>
  </si>
  <si>
    <t>Poole</t>
  </si>
  <si>
    <t>Portsmouth</t>
  </si>
  <si>
    <t>Powys</t>
  </si>
  <si>
    <t>Reading</t>
  </si>
  <si>
    <t>Redbridge</t>
  </si>
  <si>
    <t>Redcar and Cleveland</t>
  </si>
  <si>
    <t>Renfrewshire</t>
  </si>
  <si>
    <t>Rhondda Cynon Taf †</t>
  </si>
  <si>
    <t>Richmond upon Thames</t>
  </si>
  <si>
    <t>Rochdale</t>
  </si>
  <si>
    <t>Rotherham</t>
  </si>
  <si>
    <t>Rutland</t>
  </si>
  <si>
    <t>Salford</t>
  </si>
  <si>
    <t>Sandwell</t>
  </si>
  <si>
    <t>Scottish Borders</t>
  </si>
  <si>
    <t>Sefton</t>
  </si>
  <si>
    <t>Sheffield</t>
  </si>
  <si>
    <t>Shetland</t>
  </si>
  <si>
    <t>Shropshire</t>
  </si>
  <si>
    <t>Slough</t>
  </si>
  <si>
    <t>Solihull</t>
  </si>
  <si>
    <t>Somerset</t>
  </si>
  <si>
    <t>South Ayrshire</t>
  </si>
  <si>
    <t>South Gloucestershire</t>
  </si>
  <si>
    <t>South Lanarkshire</t>
  </si>
  <si>
    <t>South Tyneside</t>
  </si>
  <si>
    <t>Southampton</t>
  </si>
  <si>
    <t>Southend-on-Sea</t>
  </si>
  <si>
    <t>Southwark</t>
  </si>
  <si>
    <t>St Helens</t>
  </si>
  <si>
    <t>Staffordshire</t>
  </si>
  <si>
    <t>Stirling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</si>
  <si>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</si>
  <si>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</si>
  <si>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</si>
  <si>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</si>
  <si>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</si>
  <si>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</si>
  <si>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</si>
  <si>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Swansea (Abertawe) *</t>
  </si>
  <si>
    <t>Swindon</t>
  </si>
  <si>
    <t>Tameside</t>
  </si>
  <si>
    <t>Telford and Wrekin</t>
  </si>
  <si>
    <t>Thurrock</t>
  </si>
  <si>
    <t>Torbay</t>
  </si>
  <si>
    <t>Torfaen (Tor-faen) †</t>
  </si>
  <si>
    <t>Tower Hamlets</t>
  </si>
  <si>
    <t>Trafford</t>
  </si>
  <si>
    <t>Transport for London</t>
  </si>
  <si>
    <t>Vale of Glamorgan (Bro Morgannwg) †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</si>
  <si>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</si>
  <si>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</si>
  <si>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</si>
  <si>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</si>
  <si>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</si>
  <si>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</si>
  <si>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</si>
  <si>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Dunbartonshire</t>
  </si>
  <si>
    <t>West Lothian</t>
  </si>
  <si>
    <t>West Sussex</t>
  </si>
  <si>
    <t>Westminster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</si>
  <si>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</si>
  <si>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</si>
  <si>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</si>
  <si>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</si>
  <si>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</si>
  <si>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</si>
  <si>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</si>
  <si>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Wrexham (Wrecsam) †</t>
  </si>
  <si>
    <t>York</t>
  </si>
  <si>
    <t>Totals</t>
  </si>
  <si>
    <t>Grand Total</t>
  </si>
  <si>
    <t>Range</t>
  </si>
  <si>
    <t>DfI</t>
  </si>
  <si>
    <t>% potholes filled within target time</t>
  </si>
  <si>
    <t>No of LAs</t>
  </si>
  <si>
    <t>% of LAs</t>
  </si>
  <si>
    <t>&lt;75</t>
  </si>
  <si>
    <t>75-90</t>
  </si>
  <si>
    <t>90-99%</t>
  </si>
  <si>
    <t>For each of the past five financial years (2020/21, 2019/20, 2018/19, 2017/18 and 2016/17), what was/is the authority’s total budget allocation specifically for road and pavement maintenance, e.g. the fixing of potholes and other road defects.</t>
  </si>
  <si>
    <t>16/17</t>
  </si>
  <si>
    <t>17/18</t>
  </si>
  <si>
    <t>18/19</t>
  </si>
  <si>
    <t>19/20</t>
  </si>
  <si>
    <t>20/21</t>
  </si>
  <si>
    <t>&lt;75%</t>
  </si>
  <si>
    <t>For each of the past five years for which data is available, how many potholes/road defects were repaired within the local authority’s set target time?</t>
  </si>
  <si>
    <t>How many potholes/road defects were repaired by the local authority in each of the past five years for which data is available?</t>
  </si>
  <si>
    <t>Funding compared to 2016/17 (If TRUE, LA budget reduced in 2020/21 compared to 2016/17</t>
  </si>
  <si>
    <t>2016/17 value today, accounting for 9.69% inflation between 2016 and 2020</t>
  </si>
  <si>
    <t>Funding compared to 2016/17, accounting for inflation (If TRUE, LA budget reduced in 2020/21 compared to 2016/17, considering inflation).</t>
  </si>
  <si>
    <t>Response</t>
  </si>
  <si>
    <t>2020/21 budget compared to 2016/17</t>
  </si>
  <si>
    <t>Total (again)</t>
  </si>
  <si>
    <t>Worst performing LAs</t>
  </si>
  <si>
    <t>Best performing LAs</t>
  </si>
  <si>
    <t>Potholes filled within target times</t>
  </si>
  <si>
    <t>Pothole maintenance budget</t>
  </si>
  <si>
    <t>LAs with a drop in pothole maintenance budget 2016/17 vs 2020/21</t>
  </si>
  <si>
    <t xml:space="preserve">53 (47%) </t>
  </si>
  <si>
    <t>LAs with a drop in pothole maintenance budget 2016/17 vs 2020/21, considering inflation</t>
  </si>
  <si>
    <t>65 (58%)</t>
  </si>
  <si>
    <t>LAs with biggest drop in pothole maintenance budget, 2016/17 vs 2020/21</t>
  </si>
  <si>
    <t>LAs with the biggest rise in pothole maintenance budget, 2016/17 vs 2020/21</t>
  </si>
  <si>
    <t>% of 16/17 budget</t>
  </si>
  <si>
    <t>Middlesbrough*</t>
  </si>
  <si>
    <t>*We have sought clarification to confirm this significant rise is correct</t>
  </si>
  <si>
    <t>% of potholes repaired within target time</t>
  </si>
  <si>
    <t>Authority</t>
  </si>
  <si>
    <t>AIA Alarm Survey Estimated one-time catch up cost to fix UK's pothole problem</t>
  </si>
  <si>
    <t>£11.14bn</t>
  </si>
  <si>
    <t>£9.79bn</t>
  </si>
  <si>
    <t>£9.31bn</t>
  </si>
  <si>
    <t>£12.06bn</t>
  </si>
  <si>
    <t>£11.8bn</t>
  </si>
  <si>
    <t>Local authorities which did not respond to either question</t>
  </si>
  <si>
    <t>Pothole budgets compared to inflation</t>
  </si>
  <si>
    <t>2016/17 budget</t>
  </si>
  <si>
    <t>2020/21 spend</t>
  </si>
  <si>
    <t>2016/17 budget value today (9.59% inflation)</t>
  </si>
  <si>
    <t>2020/21 spend compared to 2016/17, accounting for inflation</t>
  </si>
  <si>
    <t>75-90%</t>
  </si>
  <si>
    <t>100%</t>
  </si>
  <si>
    <t xml:space="preserve"> LAs with drop in funding</t>
  </si>
  <si>
    <t xml:space="preserve"> % LAs with drop in funding</t>
  </si>
  <si>
    <t>With inflation</t>
  </si>
  <si>
    <t>Increase vs 2016/17, without inflation</t>
  </si>
  <si>
    <t>Increase compared to 2016/17 in real terms (average inflation of 2.34% each year since 2016)</t>
  </si>
  <si>
    <t>Real terms increase vs 2016/17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</si>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</sst>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2" applyFont="1"/>
    <xf numFmtId="43" fontId="0" fillId="0" borderId="0" xfId="4" applyFont="1"/>
    <xf numFmtId="164" fontId="0" fillId="0" borderId="0" xfId="0" applyNumberFormat="1" applyAlignment="1">
      <alignment wrapText="1"/>
    </xf>
    <xf numFmtId="9" fontId="0" fillId="0" borderId="0" xfId="3" applyFont="1"/>
    <xf numFmtId="0" fontId="0" fillId="0" borderId="1" xfId="0" applyBorder="1"/>
    <xf numFmtId="9" fontId="0" fillId="0" borderId="1" xfId="3" applyFont="1" applyBorder="1"/>
    <xf numFmtId="9" fontId="0" fillId="0" borderId="0" xfId="0" applyNumberFormat="1"/>
    <xf numFmtId="9" fontId="0" fillId="0" borderId="0" xfId="3" applyFont="1" applyBorder="1"/>
    <xf numFmtId="0" fontId="0" fillId="0" borderId="5" xfId="0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2" fillId="2" borderId="5" xfId="0" applyFont="1" applyFill="1" applyBorder="1" applyAlignment="1">
      <alignment wrapText="1"/>
    </xf>
    <xf numFmtId="0" fontId="6" fillId="0" borderId="5" xfId="0" applyFont="1" applyBorder="1"/>
    <xf numFmtId="9" fontId="5" fillId="0" borderId="5" xfId="0" applyNumberFormat="1" applyFont="1" applyBorder="1"/>
    <xf numFmtId="0" fontId="5" fillId="3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9" fontId="7" fillId="2" borderId="6" xfId="0" applyNumberFormat="1" applyFont="1" applyFill="1" applyBorder="1" applyAlignment="1">
      <alignment horizontal="left" wrapText="1"/>
    </xf>
    <xf numFmtId="0" fontId="6" fillId="0" borderId="6" xfId="0" applyFont="1" applyBorder="1"/>
    <xf numFmtId="9" fontId="5" fillId="0" borderId="6" xfId="0" applyNumberFormat="1" applyFont="1" applyBorder="1"/>
    <xf numFmtId="0" fontId="7" fillId="2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9" fontId="5" fillId="0" borderId="2" xfId="0" applyNumberFormat="1" applyFont="1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wrapText="1"/>
    </xf>
    <xf numFmtId="9" fontId="0" fillId="0" borderId="1" xfId="3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8" fontId="0" fillId="0" borderId="0" xfId="0" applyNumberFormat="1" applyBorder="1" applyAlignment="1">
      <alignment vertical="center" wrapText="1"/>
    </xf>
    <xf numFmtId="9" fontId="0" fillId="0" borderId="0" xfId="0" applyNumberFormat="1" applyBorder="1"/>
    <xf numFmtId="0" fontId="0" fillId="0" borderId="0" xfId="0" applyFill="1" applyBorder="1"/>
    <xf numFmtId="165" fontId="0" fillId="0" borderId="0" xfId="0" applyNumberFormat="1" applyBorder="1"/>
    <xf numFmtId="164" fontId="0" fillId="0" borderId="0" xfId="2" applyNumberFormat="1" applyFont="1"/>
    <xf numFmtId="164" fontId="3" fillId="0" borderId="0" xfId="0" applyNumberFormat="1" applyFont="1" applyBorder="1"/>
    <xf numFmtId="0" fontId="0" fillId="0" borderId="7" xfId="0" applyBorder="1"/>
    <xf numFmtId="164" fontId="0" fillId="0" borderId="7" xfId="0" applyNumberFormat="1" applyBorder="1"/>
    <xf numFmtId="9" fontId="0" fillId="0" borderId="7" xfId="3" applyFont="1" applyBorder="1"/>
    <xf numFmtId="0" fontId="0" fillId="0" borderId="8" xfId="0" applyBorder="1"/>
    <xf numFmtId="9" fontId="0" fillId="0" borderId="8" xfId="3" applyFont="1" applyBorder="1"/>
    <xf numFmtId="9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9" fontId="0" fillId="0" borderId="5" xfId="3" applyFont="1" applyBorder="1"/>
    <xf numFmtId="164" fontId="0" fillId="0" borderId="5" xfId="1" applyNumberFormat="1" applyFont="1" applyBorder="1"/>
    <xf numFmtId="164" fontId="3" fillId="0" borderId="5" xfId="0" applyNumberFormat="1" applyFont="1" applyBorder="1"/>
    <xf numFmtId="0" fontId="0" fillId="0" borderId="5" xfId="0" applyBorder="1" applyAlignment="1">
      <alignment horizontal="center" wrapText="1"/>
    </xf>
    <xf numFmtId="164" fontId="0" fillId="0" borderId="0" xfId="2" applyNumberFormat="1" applyFont="1" applyBorder="1"/>
    <xf numFmtId="164" fontId="0" fillId="0" borderId="0" xfId="1" applyNumberFormat="1" applyFont="1" applyBorder="1"/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/>
    <xf numFmtId="164" fontId="0" fillId="0" borderId="5" xfId="0" applyNumberFormat="1" applyBorder="1" applyAlignment="1">
      <alignment wrapText="1"/>
    </xf>
    <xf numFmtId="0" fontId="8" fillId="0" borderId="0" xfId="0" applyFont="1"/>
    <xf numFmtId="0" fontId="0" fillId="0" borderId="0" xfId="0" applyFont="1"/>
    <xf numFmtId="164" fontId="0" fillId="0" borderId="0" xfId="3" applyNumberFormat="1" applyFont="1" applyBorder="1"/>
    <xf numFmtId="44" fontId="0" fillId="0" borderId="0" xfId="2" applyFont="1" applyBorder="1"/>
    <xf numFmtId="9" fontId="0" fillId="0" borderId="0" xfId="3" applyNumberFormat="1" applyFont="1" applyBorder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9" fontId="0" fillId="0" borderId="0" xfId="3" applyNumberFormat="1" applyFont="1"/>
  </cellXfs>
  <cellStyles count="5">
    <cellStyle name="Comma" xfId="1" builtinId="3"/>
    <cellStyle name="Comma 2" xfId="4" xr:uid="{67A3436B-2A08-4AA9-8EFB-0A5CAB597AF2}"/>
    <cellStyle name="Currency" xfId="2" builtinId="4"/>
    <cellStyle name="Normal" xfId="0" builtinId="0"/>
    <cellStyle name="Percent" xfId="3" builtinId="5"/>
  </cellStyles>
  <dxfs count="4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2F3C-EAF2-411F-BF90-7508EF56ECD6}">
  <dimension ref="A1:AG325"/>
  <sheetViews>
    <sheetView zoomScaleNormal="100" workbookViewId="0">
      <pane xSplit="1" ySplit="4" topLeftCell="L60" activePane="bottomRight" state="frozen"/>
      <selection pane="topRight" activeCell="B1" sqref="B1"/>
      <selection pane="bottomLeft" activeCell="A5" sqref="A5"/>
      <selection pane="bottomRight" activeCell="L164" sqref="L164"/>
    </sheetView>
  </sheetViews>
  <sheetFormatPr defaultRowHeight="14.4" x14ac:dyDescent="0.3"/>
  <cols>
    <col min="1" max="1" width="41" bestFit="1" customWidth="1"/>
    <col min="2" max="2" width="17.21875" customWidth="1"/>
    <col min="3" max="3" width="15.109375" customWidth="1"/>
    <col min="4" max="4" width="16" bestFit="1" customWidth="1"/>
    <col min="5" max="5" width="17.44140625" bestFit="1" customWidth="1"/>
    <col min="6" max="6" width="18.88671875" customWidth="1"/>
    <col min="7" max="7" width="16.21875" customWidth="1"/>
    <col min="8" max="9" width="16" customWidth="1"/>
    <col min="10" max="10" width="27.6640625" customWidth="1"/>
    <col min="11" max="11" width="18.33203125" bestFit="1" customWidth="1"/>
    <col min="12" max="12" width="35.6640625" customWidth="1"/>
    <col min="13" max="13" width="12.44140625" style="7" bestFit="1" customWidth="1"/>
    <col min="19" max="19" width="8.88671875" style="6"/>
    <col min="20" max="20" width="11.6640625" bestFit="1" customWidth="1"/>
    <col min="27" max="27" width="9.88671875" style="7" bestFit="1" customWidth="1"/>
  </cols>
  <sheetData>
    <row r="1" spans="1:33" ht="14.4" customHeight="1" x14ac:dyDescent="0.3">
      <c r="B1" s="64" t="s">
        <v>229</v>
      </c>
      <c r="C1" s="64"/>
      <c r="D1" s="64"/>
      <c r="E1" s="64"/>
      <c r="F1" s="64"/>
      <c r="G1" s="64"/>
      <c r="H1" s="64"/>
      <c r="I1" s="26"/>
      <c r="J1" s="64" t="s">
        <v>238</v>
      </c>
      <c r="K1" s="64" t="s">
        <v>239</v>
      </c>
      <c r="L1" s="64" t="s">
        <v>240</v>
      </c>
      <c r="M1" s="65" t="s">
        <v>236</v>
      </c>
      <c r="N1" s="66"/>
      <c r="O1" s="66"/>
      <c r="P1" s="66"/>
      <c r="Q1" s="66"/>
      <c r="R1" s="66"/>
      <c r="S1" s="67"/>
      <c r="V1" s="65" t="s">
        <v>237</v>
      </c>
      <c r="W1" s="64"/>
      <c r="X1" s="64"/>
      <c r="Y1" s="64"/>
      <c r="Z1" s="64"/>
      <c r="AA1" s="64"/>
      <c r="AB1" s="66" t="s">
        <v>236</v>
      </c>
      <c r="AC1" s="66"/>
      <c r="AD1" s="66"/>
      <c r="AE1" s="66"/>
      <c r="AF1" s="66"/>
      <c r="AG1" s="67"/>
    </row>
    <row r="2" spans="1:33" ht="37.200000000000003" customHeight="1" x14ac:dyDescent="0.3">
      <c r="B2" s="64"/>
      <c r="C2" s="64"/>
      <c r="D2" s="64"/>
      <c r="E2" s="64"/>
      <c r="F2" s="64"/>
      <c r="G2" s="64"/>
      <c r="H2" s="64"/>
      <c r="I2" s="26" t="s">
        <v>242</v>
      </c>
      <c r="J2" s="64"/>
      <c r="K2" s="64"/>
      <c r="L2" s="64"/>
      <c r="M2" s="65"/>
      <c r="N2" s="66"/>
      <c r="O2" s="66"/>
      <c r="P2" s="66"/>
      <c r="Q2" s="66"/>
      <c r="R2" s="66"/>
      <c r="S2" s="67"/>
      <c r="T2" s="68" t="s">
        <v>243</v>
      </c>
      <c r="V2" s="65"/>
      <c r="W2" s="64"/>
      <c r="X2" s="64"/>
      <c r="Y2" s="64"/>
      <c r="Z2" s="64"/>
      <c r="AA2" s="64"/>
      <c r="AB2" s="66"/>
      <c r="AC2" s="66"/>
      <c r="AD2" s="66"/>
      <c r="AE2" s="66"/>
      <c r="AF2" s="66"/>
      <c r="AG2" s="67"/>
    </row>
    <row r="3" spans="1:33" ht="14.4" customHeight="1" x14ac:dyDescent="0.3">
      <c r="A3" t="s">
        <v>0</v>
      </c>
      <c r="B3" s="1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J3" s="64"/>
      <c r="K3" s="64"/>
      <c r="L3" s="64"/>
      <c r="M3" s="7" t="s">
        <v>241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s="31" t="s">
        <v>7</v>
      </c>
      <c r="T3" s="68"/>
      <c r="U3" t="s">
        <v>221</v>
      </c>
      <c r="V3" s="32" t="s">
        <v>230</v>
      </c>
      <c r="W3" s="25" t="s">
        <v>231</v>
      </c>
      <c r="X3" s="25" t="s">
        <v>232</v>
      </c>
      <c r="Y3" s="25" t="s">
        <v>233</v>
      </c>
      <c r="Z3" s="33" t="s">
        <v>234</v>
      </c>
      <c r="AA3" s="30" t="s">
        <v>220</v>
      </c>
      <c r="AB3" t="s">
        <v>2</v>
      </c>
      <c r="AC3" t="s">
        <v>3</v>
      </c>
      <c r="AD3" t="s">
        <v>4</v>
      </c>
      <c r="AE3" t="s">
        <v>5</v>
      </c>
      <c r="AF3" t="s">
        <v>6</v>
      </c>
      <c r="AG3" s="31"/>
    </row>
    <row r="4" spans="1:33" ht="14.4" customHeight="1" x14ac:dyDescent="0.3">
      <c r="B4" s="1"/>
      <c r="J4" s="26"/>
      <c r="K4" s="26"/>
      <c r="L4" s="26"/>
      <c r="S4" s="31"/>
      <c r="V4" s="32"/>
      <c r="W4" s="25"/>
      <c r="X4" s="25"/>
      <c r="Y4" s="25"/>
      <c r="Z4" s="33"/>
      <c r="AA4" s="30"/>
      <c r="AG4" s="31"/>
    </row>
    <row r="5" spans="1:33" x14ac:dyDescent="0.3">
      <c r="A5" t="s">
        <v>11</v>
      </c>
      <c r="B5" s="1" t="s">
        <v>12</v>
      </c>
      <c r="C5" s="28">
        <v>1704500</v>
      </c>
      <c r="D5" s="28">
        <v>1616056</v>
      </c>
      <c r="E5" s="28">
        <v>1618556</v>
      </c>
      <c r="F5" s="28">
        <v>1665957</v>
      </c>
      <c r="G5" s="28">
        <v>1506001</v>
      </c>
      <c r="H5" s="2">
        <f>SUM(C5:G5)</f>
        <v>8111070</v>
      </c>
      <c r="I5" s="6">
        <f>G5/C5</f>
        <v>0.88354414784394253</v>
      </c>
      <c r="J5" t="b">
        <f t="shared" ref="J5:J36" si="0">IF(G5&lt;C5, TRUE, FALSE)</f>
        <v>1</v>
      </c>
      <c r="K5" s="2">
        <f t="shared" ref="K5:K36" si="1">C5*1.0969</f>
        <v>1869666.05</v>
      </c>
      <c r="L5" t="b">
        <f t="shared" ref="L5:L36" si="2">IF(G5&lt;K5, TRUE, FALSE)</f>
        <v>1</v>
      </c>
      <c r="N5" s="6"/>
      <c r="O5" s="6"/>
      <c r="P5" s="6"/>
      <c r="Q5" s="6"/>
      <c r="R5" s="6"/>
      <c r="S5" s="8"/>
      <c r="T5" s="9">
        <f t="shared" ref="T5:T36" si="3">S5</f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f t="shared" ref="AA5:AA23" si="4">SUM(V5+W5+X5+Y5+Z5)</f>
        <v>0</v>
      </c>
      <c r="AG5" s="7">
        <f t="shared" ref="AG5:AG32" si="5">SUM(AB5:AF5)</f>
        <v>0</v>
      </c>
    </row>
    <row r="6" spans="1:33" x14ac:dyDescent="0.3">
      <c r="A6" t="s">
        <v>13</v>
      </c>
      <c r="B6" s="1"/>
      <c r="C6" s="2"/>
      <c r="D6" s="2"/>
      <c r="E6" s="2"/>
      <c r="F6" s="2"/>
      <c r="G6" s="2"/>
      <c r="H6" s="2"/>
      <c r="I6" s="6"/>
      <c r="J6" t="b">
        <f t="shared" si="0"/>
        <v>0</v>
      </c>
      <c r="K6" s="2">
        <f t="shared" si="1"/>
        <v>0</v>
      </c>
      <c r="L6" t="b">
        <f t="shared" si="2"/>
        <v>0</v>
      </c>
      <c r="M6" s="7" t="s">
        <v>12</v>
      </c>
      <c r="N6" s="6"/>
      <c r="O6" s="6"/>
      <c r="P6" s="6">
        <v>0.47</v>
      </c>
      <c r="Q6" s="6">
        <v>0.44</v>
      </c>
      <c r="R6" s="6">
        <v>0.57999999999999996</v>
      </c>
      <c r="S6" s="8" cm="1">
        <f t="array" ref="S6">SUM(N6:R6/3)</f>
        <v>0.4966666666666667</v>
      </c>
      <c r="T6" s="9">
        <f t="shared" si="3"/>
        <v>0.4966666666666667</v>
      </c>
      <c r="U6" t="str">
        <f>IF(IFERROR(T6, 0) &gt; 0, IF(T6&lt;75%,"&lt;75%",IF(T6&lt;90%,"75-90%",IF(T6&lt;100%,"90-99%","100%"))), "")</f>
        <v>&lt;75%</v>
      </c>
      <c r="V6" s="7">
        <v>0</v>
      </c>
      <c r="W6" s="7">
        <v>0</v>
      </c>
      <c r="X6" s="7">
        <v>5600</v>
      </c>
      <c r="Y6" s="7">
        <v>5416</v>
      </c>
      <c r="Z6" s="7">
        <v>2822</v>
      </c>
      <c r="AA6" s="7">
        <f t="shared" si="4"/>
        <v>13838</v>
      </c>
      <c r="AG6" s="7">
        <f t="shared" si="5"/>
        <v>0</v>
      </c>
    </row>
    <row r="7" spans="1:33" x14ac:dyDescent="0.3">
      <c r="A7" t="s">
        <v>14</v>
      </c>
      <c r="B7" s="1" t="s">
        <v>12</v>
      </c>
      <c r="C7" s="38">
        <v>5631250</v>
      </c>
      <c r="D7" s="38">
        <v>6523847</v>
      </c>
      <c r="E7" s="38">
        <v>8946711</v>
      </c>
      <c r="F7" s="38">
        <v>9052294</v>
      </c>
      <c r="G7" s="38">
        <v>5186989</v>
      </c>
      <c r="H7" s="2">
        <f>SUM(C7:G7)</f>
        <v>35341091</v>
      </c>
      <c r="I7" s="6">
        <f>G7/C7</f>
        <v>0.92110792452830192</v>
      </c>
      <c r="J7" t="b">
        <f t="shared" si="0"/>
        <v>1</v>
      </c>
      <c r="K7" s="2">
        <f t="shared" si="1"/>
        <v>6176918.125</v>
      </c>
      <c r="L7" t="b">
        <f t="shared" si="2"/>
        <v>1</v>
      </c>
      <c r="M7" s="7" t="s">
        <v>12</v>
      </c>
      <c r="N7" s="6"/>
      <c r="O7" s="6">
        <v>0.97</v>
      </c>
      <c r="P7" s="6">
        <v>0.8</v>
      </c>
      <c r="Q7" s="6">
        <v>0.99</v>
      </c>
      <c r="R7" s="6">
        <v>0.91</v>
      </c>
      <c r="S7" s="8" cm="1">
        <f t="array" ref="S7">SUM(N7:R7/4)</f>
        <v>0.91749999999999998</v>
      </c>
      <c r="T7" s="9">
        <f t="shared" si="3"/>
        <v>0.91749999999999998</v>
      </c>
      <c r="U7" t="str">
        <f>IF(IFERROR(T7, 0) &gt; 0, IF(T7&lt;75%,"&lt;75%",IF(T7&lt;90%,"75-90%",IF(T7&lt;100%,"90-99%","100%"))), "")</f>
        <v>90-99%</v>
      </c>
      <c r="V7" s="7"/>
      <c r="W7" s="7">
        <v>503</v>
      </c>
      <c r="X7" s="7">
        <v>1231</v>
      </c>
      <c r="Y7" s="7">
        <v>974</v>
      </c>
      <c r="Z7" s="7">
        <v>913</v>
      </c>
      <c r="AA7" s="7">
        <f t="shared" si="4"/>
        <v>3621</v>
      </c>
      <c r="AG7" s="7">
        <f t="shared" si="5"/>
        <v>0</v>
      </c>
    </row>
    <row r="8" spans="1:33" x14ac:dyDescent="0.3">
      <c r="A8" t="s">
        <v>15</v>
      </c>
      <c r="B8" s="1" t="s">
        <v>12</v>
      </c>
      <c r="C8" s="2">
        <v>2693719</v>
      </c>
      <c r="D8" s="2">
        <v>2141128</v>
      </c>
      <c r="E8" s="2">
        <v>2136721</v>
      </c>
      <c r="F8" s="2">
        <v>2213891</v>
      </c>
      <c r="G8" s="2">
        <v>2383282</v>
      </c>
      <c r="H8" s="2">
        <f>SUM(C8:G8)</f>
        <v>11568741</v>
      </c>
      <c r="I8" s="6">
        <f>G8/C8</f>
        <v>0.88475523987468629</v>
      </c>
      <c r="J8" t="b">
        <f t="shared" si="0"/>
        <v>1</v>
      </c>
      <c r="K8" s="2">
        <f t="shared" si="1"/>
        <v>2954740.3711000001</v>
      </c>
      <c r="L8" t="b">
        <f t="shared" si="2"/>
        <v>1</v>
      </c>
      <c r="N8" s="6"/>
      <c r="O8" s="6"/>
      <c r="P8" s="6"/>
      <c r="Q8" s="6"/>
      <c r="R8" s="6"/>
      <c r="S8" s="8"/>
      <c r="T8" s="9">
        <f t="shared" si="3"/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f t="shared" si="4"/>
        <v>0</v>
      </c>
      <c r="AG8" s="7">
        <f t="shared" si="5"/>
        <v>0</v>
      </c>
    </row>
    <row r="9" spans="1:33" x14ac:dyDescent="0.3">
      <c r="A9" t="s">
        <v>16</v>
      </c>
      <c r="B9" s="1"/>
      <c r="I9" s="6"/>
      <c r="J9" t="b">
        <f t="shared" si="0"/>
        <v>0</v>
      </c>
      <c r="K9" s="2">
        <f t="shared" si="1"/>
        <v>0</v>
      </c>
      <c r="L9" t="b">
        <f t="shared" si="2"/>
        <v>0</v>
      </c>
      <c r="M9" s="7" t="s">
        <v>12</v>
      </c>
      <c r="N9" s="6"/>
      <c r="O9" s="6"/>
      <c r="P9" s="6"/>
      <c r="Q9" s="6">
        <v>0.95199999999999996</v>
      </c>
      <c r="R9" s="6">
        <v>0.94199999999999995</v>
      </c>
      <c r="S9" s="8" cm="1">
        <f t="array" ref="S9">SUM(N9:R9/2)</f>
        <v>0.94699999999999995</v>
      </c>
      <c r="T9" s="9">
        <f t="shared" si="3"/>
        <v>0.94699999999999995</v>
      </c>
      <c r="U9" t="str">
        <f>IF(IFERROR(T9, 0) &gt; 0, IF(T9&lt;75%,"&lt;75%",IF(T9&lt;90%,"75-90%",IF(T9&lt;100%,"90-99%","100%"))), "")</f>
        <v>90-99%</v>
      </c>
      <c r="V9" s="7">
        <v>0</v>
      </c>
      <c r="W9" s="7">
        <v>0</v>
      </c>
      <c r="X9" s="7">
        <v>0</v>
      </c>
      <c r="Y9" s="7">
        <v>2604</v>
      </c>
      <c r="Z9" s="7">
        <v>2496</v>
      </c>
      <c r="AA9" s="7">
        <f t="shared" si="4"/>
        <v>5100</v>
      </c>
      <c r="AG9" s="7">
        <f t="shared" si="5"/>
        <v>0</v>
      </c>
    </row>
    <row r="10" spans="1:33" x14ac:dyDescent="0.3">
      <c r="A10" t="s">
        <v>17</v>
      </c>
      <c r="B10" s="1" t="s">
        <v>12</v>
      </c>
      <c r="C10" s="2">
        <v>3136110</v>
      </c>
      <c r="D10" s="2">
        <v>3171480</v>
      </c>
      <c r="E10" s="2">
        <v>2960120</v>
      </c>
      <c r="F10" s="2">
        <v>3396897</v>
      </c>
      <c r="G10" s="2">
        <v>2242391</v>
      </c>
      <c r="H10" s="2">
        <f>SUM(C10:G10)</f>
        <v>14906998</v>
      </c>
      <c r="I10" s="6">
        <f>G10/C10</f>
        <v>0.71502306998160137</v>
      </c>
      <c r="J10" t="b">
        <f t="shared" si="0"/>
        <v>1</v>
      </c>
      <c r="K10" s="2">
        <f t="shared" si="1"/>
        <v>3439999.0589999999</v>
      </c>
      <c r="L10" t="b">
        <f t="shared" si="2"/>
        <v>1</v>
      </c>
      <c r="N10" s="6"/>
      <c r="O10" s="6"/>
      <c r="P10" s="6"/>
      <c r="Q10" s="6"/>
      <c r="R10" s="6"/>
      <c r="S10" s="8"/>
      <c r="T10" s="9">
        <f t="shared" si="3"/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f t="shared" si="4"/>
        <v>0</v>
      </c>
      <c r="AG10" s="7">
        <f t="shared" si="5"/>
        <v>0</v>
      </c>
    </row>
    <row r="11" spans="1:33" x14ac:dyDescent="0.3">
      <c r="A11" t="s">
        <v>18</v>
      </c>
      <c r="B11" s="1"/>
      <c r="C11" s="2"/>
      <c r="D11" s="2"/>
      <c r="E11" s="2"/>
      <c r="F11" s="2"/>
      <c r="G11" s="2"/>
      <c r="H11" s="2"/>
      <c r="I11" s="6"/>
      <c r="J11" t="b">
        <f t="shared" si="0"/>
        <v>0</v>
      </c>
      <c r="K11" s="2">
        <f t="shared" si="1"/>
        <v>0</v>
      </c>
      <c r="L11" t="b">
        <f t="shared" si="2"/>
        <v>0</v>
      </c>
      <c r="M11" s="7" t="s">
        <v>12</v>
      </c>
      <c r="N11" s="6">
        <v>0.91</v>
      </c>
      <c r="O11" s="6">
        <v>0.92</v>
      </c>
      <c r="P11" s="6">
        <v>0.92</v>
      </c>
      <c r="Q11" s="6">
        <v>0.88</v>
      </c>
      <c r="R11" s="6">
        <v>0.95</v>
      </c>
      <c r="S11" s="8" cm="1">
        <f t="array" ref="S11">SUM(N11:R11/5)</f>
        <v>0.91599999999999993</v>
      </c>
      <c r="T11" s="9">
        <f t="shared" si="3"/>
        <v>0.91599999999999993</v>
      </c>
      <c r="U11" t="str">
        <f>IF(IFERROR(T11, 0) &gt; 0, IF(T11&lt;75%,"&lt;75%",IF(T11&lt;90%,"75-90%",IF(T11&lt;100%,"90-99%","100%"))), "")</f>
        <v>90-99%</v>
      </c>
      <c r="V11" s="7">
        <v>1107</v>
      </c>
      <c r="W11" s="7">
        <v>1615</v>
      </c>
      <c r="X11" s="7">
        <v>1498</v>
      </c>
      <c r="Y11" s="7">
        <v>1712</v>
      </c>
      <c r="Z11" s="7">
        <v>1453</v>
      </c>
      <c r="AA11" s="7">
        <f t="shared" si="4"/>
        <v>7385</v>
      </c>
      <c r="AG11" s="7">
        <f t="shared" si="5"/>
        <v>0</v>
      </c>
    </row>
    <row r="12" spans="1:33" x14ac:dyDescent="0.3">
      <c r="A12" t="s">
        <v>19</v>
      </c>
      <c r="B12" s="1" t="s">
        <v>12</v>
      </c>
      <c r="C12" s="3">
        <v>36582681</v>
      </c>
      <c r="D12" s="3">
        <v>40500906</v>
      </c>
      <c r="E12" s="3">
        <v>26862142</v>
      </c>
      <c r="F12" s="3">
        <v>352120</v>
      </c>
      <c r="G12" s="3">
        <v>30642522</v>
      </c>
      <c r="H12" s="2">
        <f t="shared" ref="H12:H17" si="6">SUM(C12:G12)</f>
        <v>134940371</v>
      </c>
      <c r="I12" s="6">
        <f t="shared" ref="I12:I17" si="7">G12/C12</f>
        <v>0.83762373785562627</v>
      </c>
      <c r="J12" t="b">
        <f t="shared" si="0"/>
        <v>1</v>
      </c>
      <c r="K12" s="2">
        <f t="shared" si="1"/>
        <v>40127542.788900003</v>
      </c>
      <c r="L12" t="b">
        <f t="shared" si="2"/>
        <v>1</v>
      </c>
      <c r="M12" s="7" t="s">
        <v>12</v>
      </c>
      <c r="N12" s="6">
        <v>0.44</v>
      </c>
      <c r="O12" s="6">
        <v>0.45</v>
      </c>
      <c r="P12" s="6">
        <v>0.45</v>
      </c>
      <c r="Q12" s="6">
        <v>0.55000000000000004</v>
      </c>
      <c r="R12" s="6">
        <v>0.69</v>
      </c>
      <c r="S12" s="8" cm="1">
        <f t="array" ref="S12">SUM(N12:R12/5)</f>
        <v>0.51600000000000001</v>
      </c>
      <c r="T12" s="9">
        <f t="shared" si="3"/>
        <v>0.51600000000000001</v>
      </c>
      <c r="U12" t="str">
        <f>IF(IFERROR(T12, 0) &gt; 0, IF(T12&lt;75%,"&lt;75%",IF(T12&lt;90%,"75-90%",IF(T12&lt;100%,"90-99%","100%"))), "")</f>
        <v>&lt;75%</v>
      </c>
      <c r="V12" s="7">
        <v>14036</v>
      </c>
      <c r="W12" s="7">
        <v>10592</v>
      </c>
      <c r="X12" s="7">
        <v>17745</v>
      </c>
      <c r="Y12" s="7">
        <v>10486</v>
      </c>
      <c r="Z12" s="7">
        <v>9352</v>
      </c>
      <c r="AA12" s="7">
        <f t="shared" si="4"/>
        <v>62211</v>
      </c>
      <c r="AG12" s="7">
        <f t="shared" si="5"/>
        <v>0</v>
      </c>
    </row>
    <row r="13" spans="1:33" x14ac:dyDescent="0.3">
      <c r="A13" t="s">
        <v>20</v>
      </c>
      <c r="B13" s="1" t="s">
        <v>12</v>
      </c>
      <c r="C13" s="2">
        <v>877800</v>
      </c>
      <c r="D13" s="2">
        <v>1064634</v>
      </c>
      <c r="E13" s="2">
        <v>1081404</v>
      </c>
      <c r="F13" s="2">
        <v>1172256</v>
      </c>
      <c r="G13" s="2">
        <v>2496483</v>
      </c>
      <c r="H13" s="2">
        <f t="shared" si="6"/>
        <v>6692577</v>
      </c>
      <c r="I13" s="6">
        <f t="shared" si="7"/>
        <v>2.8440225563909776</v>
      </c>
      <c r="J13" t="b">
        <f t="shared" si="0"/>
        <v>0</v>
      </c>
      <c r="K13" s="2">
        <f t="shared" si="1"/>
        <v>962858.82</v>
      </c>
      <c r="L13" t="b">
        <f t="shared" si="2"/>
        <v>0</v>
      </c>
      <c r="N13" s="6"/>
      <c r="O13" s="6"/>
      <c r="P13" s="6"/>
      <c r="Q13" s="6"/>
      <c r="R13" s="6"/>
      <c r="S13" s="8"/>
      <c r="T13" s="9">
        <f t="shared" si="3"/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f t="shared" si="4"/>
        <v>0</v>
      </c>
      <c r="AG13" s="7">
        <f t="shared" si="5"/>
        <v>0</v>
      </c>
    </row>
    <row r="14" spans="1:33" x14ac:dyDescent="0.3">
      <c r="A14" t="s">
        <v>21</v>
      </c>
      <c r="B14" s="1" t="s">
        <v>12</v>
      </c>
      <c r="C14" s="2">
        <v>1605580</v>
      </c>
      <c r="D14" s="2">
        <v>1190558</v>
      </c>
      <c r="E14" s="2">
        <v>1522692</v>
      </c>
      <c r="F14" s="2">
        <v>1301178</v>
      </c>
      <c r="G14" s="2">
        <v>1438302</v>
      </c>
      <c r="H14" s="2">
        <f t="shared" si="6"/>
        <v>7058310</v>
      </c>
      <c r="I14" s="6">
        <f t="shared" si="7"/>
        <v>0.89581459659437712</v>
      </c>
      <c r="J14" t="b">
        <f t="shared" si="0"/>
        <v>1</v>
      </c>
      <c r="K14" s="2">
        <f t="shared" si="1"/>
        <v>1761160.702</v>
      </c>
      <c r="L14" t="b">
        <f t="shared" si="2"/>
        <v>1</v>
      </c>
      <c r="M14" s="7" t="s">
        <v>12</v>
      </c>
      <c r="N14" s="6">
        <v>0.96599999999999997</v>
      </c>
      <c r="O14" s="6">
        <v>0.96599999999999997</v>
      </c>
      <c r="P14" s="6">
        <v>0.91800000000000004</v>
      </c>
      <c r="Q14" s="6">
        <v>0.98699999999999999</v>
      </c>
      <c r="R14" s="6">
        <v>0.92700000000000005</v>
      </c>
      <c r="S14" s="8" cm="1">
        <f t="array" ref="S14">SUM(N14:R14/5)</f>
        <v>0.95279999999999998</v>
      </c>
      <c r="T14" s="9">
        <f t="shared" si="3"/>
        <v>0.95279999999999998</v>
      </c>
      <c r="U14" t="str">
        <f>IF(IFERROR(T14, 0) &gt; 0, IF(T14&lt;75%,"&lt;75%",IF(T14&lt;90%,"75-90%",IF(T14&lt;100%,"90-99%","100%"))), "")</f>
        <v>90-99%</v>
      </c>
      <c r="V14" s="7">
        <v>3986</v>
      </c>
      <c r="W14" s="7">
        <v>3118</v>
      </c>
      <c r="X14" s="7">
        <v>3960</v>
      </c>
      <c r="Y14" s="7">
        <v>3267</v>
      </c>
      <c r="Z14" s="7">
        <v>2391</v>
      </c>
      <c r="AA14" s="7">
        <f t="shared" si="4"/>
        <v>16722</v>
      </c>
      <c r="AG14" s="7">
        <f t="shared" si="5"/>
        <v>0</v>
      </c>
    </row>
    <row r="15" spans="1:33" x14ac:dyDescent="0.3">
      <c r="A15" t="s">
        <v>22</v>
      </c>
      <c r="B15" s="1" t="s">
        <v>12</v>
      </c>
      <c r="C15" s="2">
        <v>1067662</v>
      </c>
      <c r="D15" s="2">
        <v>1066404</v>
      </c>
      <c r="E15" s="2">
        <v>1077460</v>
      </c>
      <c r="F15" s="2">
        <v>832880</v>
      </c>
      <c r="G15" s="2">
        <v>1100360</v>
      </c>
      <c r="H15" s="2">
        <f t="shared" si="6"/>
        <v>5144766</v>
      </c>
      <c r="I15" s="6">
        <f t="shared" si="7"/>
        <v>1.0306257973028918</v>
      </c>
      <c r="J15" t="b">
        <f t="shared" si="0"/>
        <v>0</v>
      </c>
      <c r="K15" s="2">
        <f t="shared" si="1"/>
        <v>1171118.4478</v>
      </c>
      <c r="L15" t="b">
        <f t="shared" si="2"/>
        <v>1</v>
      </c>
      <c r="N15" s="6"/>
      <c r="O15" s="6"/>
      <c r="P15" s="6"/>
      <c r="Q15" s="6"/>
      <c r="R15" s="6"/>
      <c r="S15" s="8"/>
      <c r="T15" s="9">
        <f t="shared" si="3"/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f t="shared" si="4"/>
        <v>0</v>
      </c>
      <c r="AG15" s="7">
        <f t="shared" si="5"/>
        <v>0</v>
      </c>
    </row>
    <row r="16" spans="1:33" x14ac:dyDescent="0.3">
      <c r="A16" t="s">
        <v>23</v>
      </c>
      <c r="B16" s="1" t="s">
        <v>12</v>
      </c>
      <c r="C16" s="2">
        <v>8176000</v>
      </c>
      <c r="D16" s="2">
        <v>6525000</v>
      </c>
      <c r="E16" s="2">
        <v>5931000</v>
      </c>
      <c r="F16" s="2">
        <v>7468000</v>
      </c>
      <c r="G16" s="2">
        <v>12410000</v>
      </c>
      <c r="H16" s="2">
        <f t="shared" si="6"/>
        <v>40510000</v>
      </c>
      <c r="I16" s="6">
        <f t="shared" si="7"/>
        <v>1.5178571428571428</v>
      </c>
      <c r="J16" t="b">
        <f t="shared" si="0"/>
        <v>0</v>
      </c>
      <c r="K16" s="2">
        <f t="shared" si="1"/>
        <v>8968254.4000000004</v>
      </c>
      <c r="L16" t="b">
        <f t="shared" si="2"/>
        <v>0</v>
      </c>
      <c r="M16" s="7" t="s">
        <v>12</v>
      </c>
      <c r="N16" s="6">
        <f>AB16/V16</f>
        <v>0.31319776714513559</v>
      </c>
      <c r="O16" s="6">
        <f>AC16/W16</f>
        <v>0.54301652006007295</v>
      </c>
      <c r="P16" s="6">
        <f>AD16/X16</f>
        <v>0.44913928012519561</v>
      </c>
      <c r="Q16" s="6">
        <f>AE16/Y16</f>
        <v>0.67223548130469368</v>
      </c>
      <c r="R16" s="6">
        <f>AF16/Z16</f>
        <v>0.65855922762718155</v>
      </c>
      <c r="S16" s="8" cm="1">
        <f t="array" ref="S16">SUM(N16:R16/5)</f>
        <v>0.5272296552524558</v>
      </c>
      <c r="T16" s="9">
        <f t="shared" si="3"/>
        <v>0.5272296552524558</v>
      </c>
      <c r="U16" t="str">
        <f>IF(IFERROR(T16, 0) &gt; 0, IF(T16&lt;75%,"&lt;75%",IF(T16&lt;90%,"75-90%",IF(T16&lt;100%,"90-99%","100%"))), "")</f>
        <v>&lt;75%</v>
      </c>
      <c r="V16" s="7">
        <v>5016</v>
      </c>
      <c r="W16" s="7">
        <v>4661</v>
      </c>
      <c r="X16" s="7">
        <v>7029</v>
      </c>
      <c r="Y16" s="7">
        <v>6285</v>
      </c>
      <c r="Z16" s="7">
        <v>5386</v>
      </c>
      <c r="AA16" s="7">
        <f t="shared" si="4"/>
        <v>28377</v>
      </c>
      <c r="AB16">
        <v>1571</v>
      </c>
      <c r="AC16">
        <v>2531</v>
      </c>
      <c r="AD16">
        <v>3157</v>
      </c>
      <c r="AE16">
        <v>4225</v>
      </c>
      <c r="AF16">
        <v>3547</v>
      </c>
      <c r="AG16" s="7">
        <f t="shared" si="5"/>
        <v>15031</v>
      </c>
    </row>
    <row r="17" spans="1:33" x14ac:dyDescent="0.3">
      <c r="A17" t="s">
        <v>25</v>
      </c>
      <c r="B17" s="1" t="s">
        <v>12</v>
      </c>
      <c r="C17" s="2">
        <v>1556000</v>
      </c>
      <c r="D17" s="2">
        <v>1921310</v>
      </c>
      <c r="E17" s="2">
        <v>2465644</v>
      </c>
      <c r="F17" s="2">
        <v>2005000</v>
      </c>
      <c r="G17" s="2">
        <v>1622000</v>
      </c>
      <c r="H17" s="2">
        <f t="shared" si="6"/>
        <v>9569954</v>
      </c>
      <c r="I17" s="6">
        <f t="shared" si="7"/>
        <v>1.0424164524421593</v>
      </c>
      <c r="J17" t="b">
        <f t="shared" si="0"/>
        <v>0</v>
      </c>
      <c r="K17" s="2">
        <f t="shared" si="1"/>
        <v>1706776.4</v>
      </c>
      <c r="L17" t="b">
        <f t="shared" si="2"/>
        <v>1</v>
      </c>
      <c r="N17" s="6"/>
      <c r="O17" s="6"/>
      <c r="P17" s="6"/>
      <c r="Q17" s="6"/>
      <c r="R17" s="6"/>
      <c r="S17" s="8"/>
      <c r="T17" s="9">
        <f t="shared" si="3"/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f t="shared" si="4"/>
        <v>0</v>
      </c>
      <c r="AG17" s="7">
        <f t="shared" si="5"/>
        <v>0</v>
      </c>
    </row>
    <row r="18" spans="1:33" x14ac:dyDescent="0.3">
      <c r="A18" t="s">
        <v>26</v>
      </c>
      <c r="B18" s="1"/>
      <c r="I18" s="6"/>
      <c r="J18" t="b">
        <f t="shared" si="0"/>
        <v>0</v>
      </c>
      <c r="K18" s="2">
        <f t="shared" si="1"/>
        <v>0</v>
      </c>
      <c r="L18" t="b">
        <f t="shared" si="2"/>
        <v>0</v>
      </c>
      <c r="M18" s="7" t="s">
        <v>12</v>
      </c>
      <c r="N18" s="6">
        <v>0.82</v>
      </c>
      <c r="O18" s="6">
        <v>0.73</v>
      </c>
      <c r="P18" s="6">
        <v>0.66</v>
      </c>
      <c r="Q18" s="6">
        <v>0.76</v>
      </c>
      <c r="R18" s="6">
        <v>0.72</v>
      </c>
      <c r="S18" s="8" cm="1">
        <f t="array" ref="S18">SUM(N18:R18/5)</f>
        <v>0.73799999999999999</v>
      </c>
      <c r="T18" s="9">
        <f t="shared" si="3"/>
        <v>0.73799999999999999</v>
      </c>
      <c r="U18" t="str">
        <f>IF(IFERROR(T18, 0) &gt; 0, IF(T18&lt;75%,"&lt;75%",IF(T18&lt;90%,"75-90%",IF(T18&lt;100%,"90-99%","100%"))), "")</f>
        <v>&lt;75%</v>
      </c>
      <c r="V18" s="7">
        <v>1875</v>
      </c>
      <c r="W18" s="7">
        <v>870</v>
      </c>
      <c r="X18" s="7">
        <v>1819</v>
      </c>
      <c r="Y18" s="7">
        <v>1454</v>
      </c>
      <c r="Z18" s="7">
        <v>1635</v>
      </c>
      <c r="AA18" s="7">
        <f t="shared" si="4"/>
        <v>7653</v>
      </c>
      <c r="AG18" s="7">
        <f t="shared" si="5"/>
        <v>0</v>
      </c>
    </row>
    <row r="19" spans="1:33" x14ac:dyDescent="0.3">
      <c r="A19" t="s">
        <v>27</v>
      </c>
      <c r="B19" s="1" t="s">
        <v>12</v>
      </c>
      <c r="C19" s="2">
        <f>901000+6183000</f>
        <v>7084000</v>
      </c>
      <c r="D19" s="2">
        <f>6441000+886000</f>
        <v>7327000</v>
      </c>
      <c r="E19" s="2">
        <f>5947000+661000</f>
        <v>6608000</v>
      </c>
      <c r="F19" s="2">
        <v>10227000</v>
      </c>
      <c r="G19" s="2">
        <f>16666000+239000</f>
        <v>16905000</v>
      </c>
      <c r="H19" s="2">
        <f>SUM(C19:G19)</f>
        <v>48151000</v>
      </c>
      <c r="I19" s="6">
        <f>G19/C19</f>
        <v>2.3863636363636362</v>
      </c>
      <c r="J19" t="b">
        <f t="shared" si="0"/>
        <v>0</v>
      </c>
      <c r="K19" s="2">
        <f t="shared" si="1"/>
        <v>7770439.5999999996</v>
      </c>
      <c r="L19" t="b">
        <f t="shared" si="2"/>
        <v>0</v>
      </c>
      <c r="N19" s="6"/>
      <c r="O19" s="6"/>
      <c r="P19" s="6"/>
      <c r="Q19" s="6"/>
      <c r="R19" s="6"/>
      <c r="S19" s="8"/>
      <c r="T19" s="9">
        <f t="shared" si="3"/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f t="shared" si="4"/>
        <v>0</v>
      </c>
      <c r="AG19" s="7">
        <f t="shared" si="5"/>
        <v>0</v>
      </c>
    </row>
    <row r="20" spans="1:33" x14ac:dyDescent="0.3">
      <c r="A20" t="s">
        <v>29</v>
      </c>
      <c r="B20" s="1"/>
      <c r="C20" s="2"/>
      <c r="D20" s="2"/>
      <c r="E20" s="2"/>
      <c r="F20" s="2"/>
      <c r="G20" s="2"/>
      <c r="H20" s="2"/>
      <c r="I20" s="6"/>
      <c r="J20" t="b">
        <f t="shared" si="0"/>
        <v>0</v>
      </c>
      <c r="K20" s="2">
        <f t="shared" si="1"/>
        <v>0</v>
      </c>
      <c r="L20" t="b">
        <f t="shared" si="2"/>
        <v>0</v>
      </c>
      <c r="M20" s="7" t="s">
        <v>12</v>
      </c>
      <c r="N20" s="6">
        <f t="shared" ref="N20:R22" si="8">AB20/V20</f>
        <v>0.77411477411477414</v>
      </c>
      <c r="O20" s="6">
        <f t="shared" si="8"/>
        <v>0.44568245125348188</v>
      </c>
      <c r="P20" s="6">
        <f t="shared" si="8"/>
        <v>0.46538024971623154</v>
      </c>
      <c r="Q20" s="6">
        <f t="shared" si="8"/>
        <v>0.62872628726287261</v>
      </c>
      <c r="R20" s="6">
        <f t="shared" si="8"/>
        <v>0.60891590678824725</v>
      </c>
      <c r="S20" s="8" cm="1">
        <f t="array" ref="S20">SUM(N20:R20/5)</f>
        <v>0.58456393382712146</v>
      </c>
      <c r="T20" s="9">
        <f t="shared" si="3"/>
        <v>0.58456393382712146</v>
      </c>
      <c r="U20" t="str">
        <f>IF(IFERROR(T20, 0) &gt; 0, IF(T20&lt;75%,"&lt;75%",IF(T20&lt;90%,"75-90%",IF(T20&lt;100%,"90-99%","100%"))), "")</f>
        <v>&lt;75%</v>
      </c>
      <c r="V20" s="7">
        <v>819</v>
      </c>
      <c r="W20" s="7">
        <v>718</v>
      </c>
      <c r="X20" s="7">
        <v>881</v>
      </c>
      <c r="Y20" s="7">
        <v>1107</v>
      </c>
      <c r="Z20" s="7">
        <v>987</v>
      </c>
      <c r="AA20" s="7">
        <f t="shared" si="4"/>
        <v>4512</v>
      </c>
      <c r="AB20">
        <v>634</v>
      </c>
      <c r="AC20">
        <v>320</v>
      </c>
      <c r="AD20">
        <v>410</v>
      </c>
      <c r="AE20">
        <v>696</v>
      </c>
      <c r="AF20">
        <v>601</v>
      </c>
      <c r="AG20" s="7">
        <f t="shared" si="5"/>
        <v>2661</v>
      </c>
    </row>
    <row r="21" spans="1:33" ht="15.6" customHeight="1" x14ac:dyDescent="0.3">
      <c r="A21" t="s">
        <v>30</v>
      </c>
      <c r="B21" s="1"/>
      <c r="C21" s="2"/>
      <c r="D21" s="2"/>
      <c r="E21" s="2"/>
      <c r="F21" s="2"/>
      <c r="G21" s="2"/>
      <c r="H21" s="2"/>
      <c r="I21" s="6"/>
      <c r="J21" t="b">
        <f t="shared" si="0"/>
        <v>0</v>
      </c>
      <c r="K21" s="2">
        <f t="shared" si="1"/>
        <v>0</v>
      </c>
      <c r="L21" t="b">
        <f t="shared" si="2"/>
        <v>0</v>
      </c>
      <c r="M21" s="7" t="s">
        <v>12</v>
      </c>
      <c r="N21" s="6">
        <f t="shared" si="8"/>
        <v>0.15001473622163278</v>
      </c>
      <c r="O21" s="6">
        <f t="shared" si="8"/>
        <v>0.15010799136069114</v>
      </c>
      <c r="P21" s="6">
        <f t="shared" si="8"/>
        <v>0.15011701771982613</v>
      </c>
      <c r="Q21" s="6">
        <f t="shared" si="8"/>
        <v>0.15</v>
      </c>
      <c r="R21" s="6">
        <f t="shared" si="8"/>
        <v>0.15002388915432394</v>
      </c>
      <c r="S21" s="8" cm="1">
        <f t="array" ref="S21">SUM(N21:R21/5)</f>
        <v>0.15005272689129479</v>
      </c>
      <c r="T21" s="9">
        <f t="shared" si="3"/>
        <v>0.15005272689129479</v>
      </c>
      <c r="U21" t="str">
        <f>IF(IFERROR(T21, 0) &gt; 0, IF(T21&lt;75%,"&lt;75%",IF(T21&lt;90%,"75-90%",IF(T21&lt;100%,"90-99%","100%"))), "")</f>
        <v>&lt;75%</v>
      </c>
      <c r="V21" s="7">
        <v>3393</v>
      </c>
      <c r="W21" s="7">
        <v>2778</v>
      </c>
      <c r="X21" s="7">
        <v>2991</v>
      </c>
      <c r="Y21" s="7">
        <v>2480</v>
      </c>
      <c r="Z21" s="7">
        <v>2093</v>
      </c>
      <c r="AA21" s="7">
        <f t="shared" si="4"/>
        <v>13735</v>
      </c>
      <c r="AB21">
        <v>509</v>
      </c>
      <c r="AC21">
        <v>417</v>
      </c>
      <c r="AD21">
        <v>449</v>
      </c>
      <c r="AE21">
        <v>372</v>
      </c>
      <c r="AF21">
        <v>314</v>
      </c>
      <c r="AG21" s="7">
        <f t="shared" si="5"/>
        <v>2061</v>
      </c>
    </row>
    <row r="22" spans="1:33" x14ac:dyDescent="0.3">
      <c r="A22" t="s">
        <v>34</v>
      </c>
      <c r="B22" s="1" t="s">
        <v>12</v>
      </c>
      <c r="C22" s="38">
        <v>3821262</v>
      </c>
      <c r="D22" s="38">
        <v>3858415</v>
      </c>
      <c r="E22" s="38">
        <v>3865868</v>
      </c>
      <c r="F22" s="38">
        <v>3617012</v>
      </c>
      <c r="G22" s="38">
        <v>3558511</v>
      </c>
      <c r="H22" s="2">
        <f>SUM(C22:G22)</f>
        <v>18721068</v>
      </c>
      <c r="I22" s="6">
        <f>G22/C22</f>
        <v>0.93123973179541208</v>
      </c>
      <c r="J22" t="b">
        <f t="shared" si="0"/>
        <v>1</v>
      </c>
      <c r="K22" s="2">
        <f t="shared" si="1"/>
        <v>4191542.2878</v>
      </c>
      <c r="L22" t="b">
        <f t="shared" si="2"/>
        <v>1</v>
      </c>
      <c r="M22" s="7" t="s">
        <v>12</v>
      </c>
      <c r="N22" s="6">
        <f t="shared" si="8"/>
        <v>0.74003266404073398</v>
      </c>
      <c r="O22" s="6">
        <f t="shared" si="8"/>
        <v>0.46006144393241166</v>
      </c>
      <c r="P22" s="6">
        <f t="shared" si="8"/>
        <v>0.22004933051444681</v>
      </c>
      <c r="Q22" s="6">
        <f t="shared" si="8"/>
        <v>0.79996069954804483</v>
      </c>
      <c r="R22" s="6">
        <f t="shared" si="8"/>
        <v>0.52997303464011614</v>
      </c>
      <c r="S22" s="8" cm="1">
        <f t="array" ref="S22">SUM(N22:R22/5)</f>
        <v>0.55001543453515067</v>
      </c>
      <c r="T22" s="9">
        <f t="shared" si="3"/>
        <v>0.55001543453515067</v>
      </c>
      <c r="U22" t="str">
        <f>IF(IFERROR(T22, 0) &gt; 0, IF(T22&lt;75%,"&lt;75%",IF(T22&lt;90%,"75-90%",IF(T22&lt;100%,"90-99%","100%"))), "")</f>
        <v>&lt;75%</v>
      </c>
      <c r="V22" s="7">
        <v>10409</v>
      </c>
      <c r="W22" s="7">
        <v>6510</v>
      </c>
      <c r="X22" s="7">
        <v>5676</v>
      </c>
      <c r="Y22" s="7">
        <v>5089</v>
      </c>
      <c r="Z22" s="7">
        <v>4821</v>
      </c>
      <c r="AA22" s="7">
        <f t="shared" si="4"/>
        <v>32505</v>
      </c>
      <c r="AB22">
        <v>7703</v>
      </c>
      <c r="AC22">
        <v>2995</v>
      </c>
      <c r="AD22">
        <v>1249</v>
      </c>
      <c r="AE22">
        <v>4071</v>
      </c>
      <c r="AF22">
        <v>2555</v>
      </c>
      <c r="AG22" s="7">
        <f t="shared" si="5"/>
        <v>18573</v>
      </c>
    </row>
    <row r="23" spans="1:33" x14ac:dyDescent="0.3">
      <c r="A23" t="s">
        <v>35</v>
      </c>
      <c r="B23" s="1"/>
      <c r="I23" s="6"/>
      <c r="J23" t="b">
        <f t="shared" si="0"/>
        <v>0</v>
      </c>
      <c r="K23" s="2">
        <f t="shared" si="1"/>
        <v>0</v>
      </c>
      <c r="L23" t="b">
        <f t="shared" si="2"/>
        <v>0</v>
      </c>
      <c r="M23" s="7" t="s">
        <v>12</v>
      </c>
      <c r="N23" s="6"/>
      <c r="O23" s="6"/>
      <c r="P23" s="6">
        <f>AD23/X23</f>
        <v>0.79921645445641532</v>
      </c>
      <c r="Q23" s="6">
        <f>AE23/Y23</f>
        <v>0.79848866498740556</v>
      </c>
      <c r="R23" s="6">
        <f>AF23/Z23</f>
        <v>0.89300847457627119</v>
      </c>
      <c r="S23" s="8" cm="1">
        <f t="array" ref="S23">SUM(N23:R23/3)</f>
        <v>0.83023786467336391</v>
      </c>
      <c r="T23" s="9">
        <f t="shared" si="3"/>
        <v>0.83023786467336391</v>
      </c>
      <c r="U23" t="str">
        <f>IF(IFERROR(T23, 0) &gt; 0, IF(T23&lt;75%,"&lt;75%",IF(T23&lt;90%,"75-90%",IF(T23&lt;100%,"90-99%","100%"))), "")</f>
        <v>75-90%</v>
      </c>
      <c r="V23" s="7">
        <v>0</v>
      </c>
      <c r="W23" s="7">
        <v>0</v>
      </c>
      <c r="X23" s="7">
        <v>1021</v>
      </c>
      <c r="Y23" s="7">
        <v>794</v>
      </c>
      <c r="Z23" s="7">
        <v>944</v>
      </c>
      <c r="AA23" s="7">
        <f t="shared" si="4"/>
        <v>2759</v>
      </c>
      <c r="AD23">
        <v>816</v>
      </c>
      <c r="AE23">
        <v>634</v>
      </c>
      <c r="AF23">
        <v>843</v>
      </c>
      <c r="AG23" s="7">
        <f t="shared" si="5"/>
        <v>2293</v>
      </c>
    </row>
    <row r="24" spans="1:33" x14ac:dyDescent="0.3">
      <c r="A24" t="s">
        <v>36</v>
      </c>
      <c r="B24" s="1" t="s">
        <v>12</v>
      </c>
      <c r="C24" s="2">
        <v>21211401</v>
      </c>
      <c r="D24" s="2">
        <v>25850516</v>
      </c>
      <c r="E24" s="2">
        <v>35508269</v>
      </c>
      <c r="F24" s="2">
        <v>25353014</v>
      </c>
      <c r="G24" s="2">
        <v>36430719</v>
      </c>
      <c r="H24" s="2">
        <f t="shared" ref="H24:H32" si="9">SUM(C24:G24)</f>
        <v>144353919</v>
      </c>
      <c r="I24" s="6">
        <f t="shared" ref="I24:I32" si="10">G24/C24</f>
        <v>1.7175064956812611</v>
      </c>
      <c r="J24" t="b">
        <f t="shared" si="0"/>
        <v>0</v>
      </c>
      <c r="K24" s="2">
        <f t="shared" si="1"/>
        <v>23266785.756900001</v>
      </c>
      <c r="L24" t="b">
        <f t="shared" si="2"/>
        <v>0</v>
      </c>
      <c r="M24" s="7" t="s">
        <v>12</v>
      </c>
      <c r="R24" s="6">
        <v>0.91</v>
      </c>
      <c r="S24" s="8">
        <f>SUM(N24:R24)</f>
        <v>0.91</v>
      </c>
      <c r="T24" s="9">
        <f t="shared" si="3"/>
        <v>0.91</v>
      </c>
      <c r="U24" t="str">
        <f>IF(IFERROR(T24, 0) &gt; 0, IF(T24&lt;75%,"&lt;75%",IF(T24&lt;90%,"75-90%",IF(T24&lt;100%,"90-99%","100%"))), "")</f>
        <v>90-99%</v>
      </c>
      <c r="V24" s="7"/>
      <c r="W24" s="7"/>
      <c r="X24" s="7"/>
      <c r="Y24" s="7"/>
      <c r="Z24" s="29"/>
      <c r="AG24" s="7">
        <f t="shared" si="5"/>
        <v>0</v>
      </c>
    </row>
    <row r="25" spans="1:33" x14ac:dyDescent="0.3">
      <c r="A25" t="s">
        <v>37</v>
      </c>
      <c r="B25" s="1" t="s">
        <v>12</v>
      </c>
      <c r="C25" s="2">
        <v>1130000</v>
      </c>
      <c r="D25" s="2">
        <v>1160000</v>
      </c>
      <c r="E25" s="2">
        <v>1190000</v>
      </c>
      <c r="F25" s="2">
        <v>1220000</v>
      </c>
      <c r="G25" s="2">
        <v>1260000</v>
      </c>
      <c r="H25" s="2">
        <f t="shared" si="9"/>
        <v>5960000</v>
      </c>
      <c r="I25" s="6">
        <f t="shared" si="10"/>
        <v>1.1150442477876106</v>
      </c>
      <c r="J25" t="b">
        <f t="shared" si="0"/>
        <v>0</v>
      </c>
      <c r="K25" s="2">
        <f t="shared" si="1"/>
        <v>1239497</v>
      </c>
      <c r="L25" t="b">
        <f t="shared" si="2"/>
        <v>0</v>
      </c>
      <c r="N25" s="6"/>
      <c r="O25" s="6"/>
      <c r="P25" s="6"/>
      <c r="Q25" s="6"/>
      <c r="R25" s="6"/>
      <c r="S25" s="8"/>
      <c r="T25" s="9">
        <f t="shared" si="3"/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f t="shared" ref="AA25:AA32" si="11">SUM(V25+W25+X25+Y25+Z25)</f>
        <v>0</v>
      </c>
      <c r="AG25" s="7">
        <f t="shared" si="5"/>
        <v>0</v>
      </c>
    </row>
    <row r="26" spans="1:33" x14ac:dyDescent="0.3">
      <c r="A26" t="s">
        <v>39</v>
      </c>
      <c r="B26" s="1" t="s">
        <v>12</v>
      </c>
      <c r="C26" s="38">
        <v>3744120</v>
      </c>
      <c r="D26" s="38">
        <v>2782993</v>
      </c>
      <c r="E26" s="38">
        <v>4799107</v>
      </c>
      <c r="F26" s="38">
        <v>3850211</v>
      </c>
      <c r="G26" s="38">
        <v>3475298</v>
      </c>
      <c r="H26" s="2">
        <f t="shared" si="9"/>
        <v>18651729</v>
      </c>
      <c r="I26" s="6">
        <f t="shared" si="10"/>
        <v>0.928201553369016</v>
      </c>
      <c r="J26" t="b">
        <f t="shared" si="0"/>
        <v>1</v>
      </c>
      <c r="K26" s="2">
        <f t="shared" si="1"/>
        <v>4106925.2280000001</v>
      </c>
      <c r="L26" t="b">
        <f t="shared" si="2"/>
        <v>1</v>
      </c>
      <c r="M26" s="7" t="s">
        <v>12</v>
      </c>
      <c r="O26" s="6">
        <v>0.67390000000000005</v>
      </c>
      <c r="P26" s="6">
        <v>0.55489999999999995</v>
      </c>
      <c r="Q26" s="6">
        <v>0.51639999999999997</v>
      </c>
      <c r="R26" s="6">
        <v>0.64449999999999996</v>
      </c>
      <c r="S26" s="8" cm="1">
        <f t="array" ref="S26">SUM(N26:R26/4)</f>
        <v>0.59742499999999998</v>
      </c>
      <c r="T26" s="9">
        <f t="shared" si="3"/>
        <v>0.59742499999999998</v>
      </c>
      <c r="U26" t="str">
        <f>IF(IFERROR(T26, 0) &gt; 0, IF(T26&lt;75%,"&lt;75%",IF(T26&lt;90%,"75-90%",IF(T26&lt;100%,"90-99%","100%"))), "")</f>
        <v>&lt;75%</v>
      </c>
      <c r="V26" s="7">
        <v>1698</v>
      </c>
      <c r="W26" s="7">
        <v>1517</v>
      </c>
      <c r="X26" s="7">
        <v>2082</v>
      </c>
      <c r="Y26" s="7">
        <v>1769</v>
      </c>
      <c r="Z26" s="7">
        <v>1628</v>
      </c>
      <c r="AA26" s="7">
        <f t="shared" si="11"/>
        <v>8694</v>
      </c>
      <c r="AG26" s="7">
        <f t="shared" si="5"/>
        <v>0</v>
      </c>
    </row>
    <row r="27" spans="1:33" x14ac:dyDescent="0.3">
      <c r="A27" t="s">
        <v>41</v>
      </c>
      <c r="B27" s="1" t="s">
        <v>12</v>
      </c>
      <c r="C27" s="2">
        <v>5758000</v>
      </c>
      <c r="D27" s="2">
        <v>6077000</v>
      </c>
      <c r="E27" s="2">
        <v>5619000</v>
      </c>
      <c r="F27" s="2">
        <v>4995000</v>
      </c>
      <c r="G27" s="2">
        <v>4424000</v>
      </c>
      <c r="H27" s="2">
        <f t="shared" si="9"/>
        <v>26873000</v>
      </c>
      <c r="I27" s="6">
        <f t="shared" si="10"/>
        <v>0.76832233414379991</v>
      </c>
      <c r="J27" t="b">
        <f t="shared" si="0"/>
        <v>1</v>
      </c>
      <c r="K27" s="2">
        <f t="shared" si="1"/>
        <v>6315950.2000000002</v>
      </c>
      <c r="L27" t="b">
        <f t="shared" si="2"/>
        <v>1</v>
      </c>
      <c r="M27" s="7" t="s">
        <v>12</v>
      </c>
      <c r="N27" s="6"/>
      <c r="O27" s="6"/>
      <c r="P27" s="6">
        <f>AD27/X27</f>
        <v>0.45732009925558315</v>
      </c>
      <c r="Q27" s="6">
        <f>AE27/Y27</f>
        <v>0.66737558485750748</v>
      </c>
      <c r="R27" s="6"/>
      <c r="S27" s="8" cm="1">
        <f t="array" ref="S27">SUM(N27:R27/2)</f>
        <v>0.56234784205654531</v>
      </c>
      <c r="T27" s="9">
        <f t="shared" si="3"/>
        <v>0.56234784205654531</v>
      </c>
      <c r="U27" t="str">
        <f>IF(IFERROR(T27, 0) &gt; 0, IF(T27&lt;75%,"&lt;75%",IF(T27&lt;90%,"75-90%",IF(T27&lt;100%,"90-99%","100%"))), "")</f>
        <v>&lt;75%</v>
      </c>
      <c r="V27" s="7"/>
      <c r="W27" s="7"/>
      <c r="X27" s="7">
        <v>4030</v>
      </c>
      <c r="Y27" s="7">
        <v>2351</v>
      </c>
      <c r="Z27" s="7"/>
      <c r="AA27" s="7">
        <f t="shared" si="11"/>
        <v>6381</v>
      </c>
      <c r="AD27">
        <v>1843</v>
      </c>
      <c r="AE27">
        <v>1569</v>
      </c>
      <c r="AG27" s="7">
        <f t="shared" si="5"/>
        <v>3412</v>
      </c>
    </row>
    <row r="28" spans="1:33" x14ac:dyDescent="0.3">
      <c r="A28" t="s">
        <v>42</v>
      </c>
      <c r="B28" s="1" t="s">
        <v>12</v>
      </c>
      <c r="C28" s="2">
        <v>1193019</v>
      </c>
      <c r="D28" s="2">
        <v>1011375</v>
      </c>
      <c r="E28" s="2">
        <v>1152630</v>
      </c>
      <c r="F28" s="2">
        <v>1493278</v>
      </c>
      <c r="G28" s="2">
        <v>1922367</v>
      </c>
      <c r="H28" s="2">
        <f t="shared" si="9"/>
        <v>6772669</v>
      </c>
      <c r="I28" s="6">
        <f t="shared" si="10"/>
        <v>1.6113465083121057</v>
      </c>
      <c r="J28" t="b">
        <f t="shared" si="0"/>
        <v>0</v>
      </c>
      <c r="K28" s="2">
        <f t="shared" si="1"/>
        <v>1308622.5411</v>
      </c>
      <c r="L28" t="b">
        <f t="shared" si="2"/>
        <v>0</v>
      </c>
      <c r="N28" s="6"/>
      <c r="O28" s="6"/>
      <c r="P28" s="6"/>
      <c r="Q28" s="6"/>
      <c r="R28" s="6"/>
      <c r="S28" s="8"/>
      <c r="T28" s="9">
        <f t="shared" si="3"/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f t="shared" si="11"/>
        <v>0</v>
      </c>
      <c r="AG28" s="7">
        <f t="shared" si="5"/>
        <v>0</v>
      </c>
    </row>
    <row r="29" spans="1:33" x14ac:dyDescent="0.3">
      <c r="A29" t="s">
        <v>44</v>
      </c>
      <c r="B29" s="1" t="s">
        <v>12</v>
      </c>
      <c r="C29" s="38">
        <v>20300000</v>
      </c>
      <c r="D29" s="38">
        <v>19000000</v>
      </c>
      <c r="E29" s="38">
        <v>19900000</v>
      </c>
      <c r="F29" s="38">
        <v>19000000</v>
      </c>
      <c r="G29" s="38">
        <v>18800000</v>
      </c>
      <c r="H29" s="2">
        <f t="shared" si="9"/>
        <v>97000000</v>
      </c>
      <c r="I29" s="6">
        <f t="shared" si="10"/>
        <v>0.92610837438423643</v>
      </c>
      <c r="J29" t="b">
        <f t="shared" si="0"/>
        <v>1</v>
      </c>
      <c r="K29" s="2">
        <f t="shared" si="1"/>
        <v>22267070</v>
      </c>
      <c r="L29" t="b">
        <f t="shared" si="2"/>
        <v>1</v>
      </c>
      <c r="N29" s="6"/>
      <c r="O29" s="6"/>
      <c r="P29" s="6"/>
      <c r="Q29" s="6"/>
      <c r="R29" s="6"/>
      <c r="S29" s="8"/>
      <c r="T29" s="9">
        <f t="shared" si="3"/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f t="shared" si="11"/>
        <v>0</v>
      </c>
      <c r="AG29" s="7">
        <f t="shared" si="5"/>
        <v>0</v>
      </c>
    </row>
    <row r="30" spans="1:33" x14ac:dyDescent="0.3">
      <c r="A30" t="s">
        <v>45</v>
      </c>
      <c r="B30" s="1" t="s">
        <v>12</v>
      </c>
      <c r="C30" s="2">
        <v>276000</v>
      </c>
      <c r="D30" s="2">
        <v>80000</v>
      </c>
      <c r="E30" s="2">
        <v>96000</v>
      </c>
      <c r="F30" s="2">
        <v>106000</v>
      </c>
      <c r="G30" s="2">
        <v>150000</v>
      </c>
      <c r="H30" s="2">
        <f t="shared" si="9"/>
        <v>708000</v>
      </c>
      <c r="I30" s="6">
        <f t="shared" si="10"/>
        <v>0.54347826086956519</v>
      </c>
      <c r="J30" t="b">
        <f t="shared" si="0"/>
        <v>1</v>
      </c>
      <c r="K30" s="2">
        <f t="shared" si="1"/>
        <v>302744.40000000002</v>
      </c>
      <c r="L30" t="b">
        <f t="shared" si="2"/>
        <v>1</v>
      </c>
      <c r="N30" s="6"/>
      <c r="O30" s="6"/>
      <c r="P30" s="6"/>
      <c r="Q30" s="6"/>
      <c r="R30" s="6"/>
      <c r="S30" s="8"/>
      <c r="T30" s="9">
        <f t="shared" si="3"/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f t="shared" si="11"/>
        <v>0</v>
      </c>
      <c r="AG30" s="7">
        <f t="shared" si="5"/>
        <v>0</v>
      </c>
    </row>
    <row r="31" spans="1:33" x14ac:dyDescent="0.3">
      <c r="A31" t="s">
        <v>46</v>
      </c>
      <c r="B31" s="1" t="s">
        <v>12</v>
      </c>
      <c r="C31" s="2">
        <v>609000</v>
      </c>
      <c r="D31" s="2">
        <v>609000</v>
      </c>
      <c r="E31" s="2">
        <v>409000</v>
      </c>
      <c r="F31" s="2">
        <v>409000</v>
      </c>
      <c r="G31" s="2">
        <v>409000</v>
      </c>
      <c r="H31" s="2">
        <f t="shared" si="9"/>
        <v>2445000</v>
      </c>
      <c r="I31" s="6">
        <f t="shared" si="10"/>
        <v>0.67159277504105086</v>
      </c>
      <c r="J31" t="b">
        <f t="shared" si="0"/>
        <v>1</v>
      </c>
      <c r="K31" s="2">
        <f t="shared" si="1"/>
        <v>668012.1</v>
      </c>
      <c r="L31" t="b">
        <f t="shared" si="2"/>
        <v>1</v>
      </c>
      <c r="M31" s="7" t="s">
        <v>12</v>
      </c>
      <c r="N31" s="6">
        <v>1</v>
      </c>
      <c r="O31" s="6">
        <v>0.96</v>
      </c>
      <c r="P31" s="6">
        <v>1</v>
      </c>
      <c r="Q31" s="6">
        <v>1</v>
      </c>
      <c r="R31" s="6"/>
      <c r="S31" s="8" cm="1">
        <f t="array" ref="S31">SUM(N31:R31/4)</f>
        <v>0.99</v>
      </c>
      <c r="T31" s="9">
        <f t="shared" si="3"/>
        <v>0.99</v>
      </c>
      <c r="U31" t="str">
        <f>IF(IFERROR(T31, 0) &gt; 0, IF(T31&lt;75%,"&lt;75%",IF(T31&lt;90%,"75-90%",IF(T31&lt;100%,"90-99%","100%"))), "")</f>
        <v>90-99%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f t="shared" si="11"/>
        <v>0</v>
      </c>
      <c r="AG31" s="7">
        <f t="shared" si="5"/>
        <v>0</v>
      </c>
    </row>
    <row r="32" spans="1:33" x14ac:dyDescent="0.3">
      <c r="A32" t="s">
        <v>47</v>
      </c>
      <c r="B32" s="1" t="s">
        <v>12</v>
      </c>
      <c r="C32" s="2">
        <v>3623581</v>
      </c>
      <c r="D32" s="2">
        <v>3564692</v>
      </c>
      <c r="E32" s="2">
        <v>5183584</v>
      </c>
      <c r="F32" s="2">
        <v>7536018</v>
      </c>
      <c r="G32" s="2">
        <v>6071967</v>
      </c>
      <c r="H32" s="2">
        <f t="shared" si="9"/>
        <v>25979842</v>
      </c>
      <c r="I32" s="6">
        <f t="shared" si="10"/>
        <v>1.6756813218746869</v>
      </c>
      <c r="J32" t="b">
        <f t="shared" si="0"/>
        <v>0</v>
      </c>
      <c r="K32" s="2">
        <f t="shared" si="1"/>
        <v>3974705.9989</v>
      </c>
      <c r="L32" t="b">
        <f t="shared" si="2"/>
        <v>0</v>
      </c>
      <c r="M32" s="7" t="s">
        <v>12</v>
      </c>
      <c r="N32" s="6">
        <f>AB32/V32</f>
        <v>0.89836956521739131</v>
      </c>
      <c r="O32" s="6">
        <f>AC32/W32</f>
        <v>0.84754990925589835</v>
      </c>
      <c r="P32" s="6">
        <f>AD32/X32</f>
        <v>0.86151736745886653</v>
      </c>
      <c r="Q32" s="6">
        <f>AE32/Y32</f>
        <v>0.88600782778864973</v>
      </c>
      <c r="R32" s="6">
        <f>AF32/Z32</f>
        <v>0.86498150431565968</v>
      </c>
      <c r="S32" s="8" cm="1">
        <f t="array" ref="S32">SUM(N32:R32/5)</f>
        <v>0.87168523480729321</v>
      </c>
      <c r="T32" s="9">
        <f t="shared" si="3"/>
        <v>0.87168523480729321</v>
      </c>
      <c r="U32" t="str">
        <f>IF(IFERROR(T32, 0) &gt; 0, IF(T32&lt;75%,"&lt;75%",IF(T32&lt;90%,"75-90%",IF(T32&lt;100%,"90-99%","100%"))), "")</f>
        <v>75-90%</v>
      </c>
      <c r="V32" s="7">
        <v>1840</v>
      </c>
      <c r="W32" s="7">
        <v>1653</v>
      </c>
      <c r="X32" s="7">
        <v>2188</v>
      </c>
      <c r="Y32" s="7">
        <v>2044</v>
      </c>
      <c r="Z32" s="7">
        <v>1622</v>
      </c>
      <c r="AA32" s="7">
        <f t="shared" si="11"/>
        <v>9347</v>
      </c>
      <c r="AB32">
        <v>1653</v>
      </c>
      <c r="AC32">
        <v>1401</v>
      </c>
      <c r="AD32">
        <v>1885</v>
      </c>
      <c r="AE32">
        <v>1811</v>
      </c>
      <c r="AF32">
        <v>1403</v>
      </c>
      <c r="AG32" s="7">
        <f t="shared" si="5"/>
        <v>8153</v>
      </c>
    </row>
    <row r="33" spans="1:33" x14ac:dyDescent="0.3">
      <c r="A33" t="s">
        <v>51</v>
      </c>
      <c r="B33" s="1"/>
      <c r="C33" s="3"/>
      <c r="D33" s="3"/>
      <c r="E33" s="3"/>
      <c r="F33" s="3"/>
      <c r="G33" s="3"/>
      <c r="H33" s="2"/>
      <c r="I33" s="6"/>
      <c r="J33" t="b">
        <f t="shared" si="0"/>
        <v>0</v>
      </c>
      <c r="K33" s="2">
        <f t="shared" si="1"/>
        <v>0</v>
      </c>
      <c r="L33" t="b">
        <f t="shared" si="2"/>
        <v>0</v>
      </c>
      <c r="M33" s="7" t="s">
        <v>12</v>
      </c>
      <c r="N33" s="6"/>
      <c r="O33" s="6"/>
      <c r="P33" s="6"/>
      <c r="Q33" s="6"/>
      <c r="R33" s="6"/>
      <c r="S33" s="8">
        <f>AG33/AA33</f>
        <v>0.4254505251520177</v>
      </c>
      <c r="T33" s="9">
        <f t="shared" si="3"/>
        <v>0.4254505251520177</v>
      </c>
      <c r="U33" t="str">
        <f>IF(IFERROR(T33, 0) &gt; 0, IF(T33&lt;75%,"&lt;75%",IF(T33&lt;90%,"75-90%",IF(T33&lt;100%,"90-99%","100%"))), "")</f>
        <v>&lt;75%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45225</v>
      </c>
      <c r="AG33" s="7">
        <v>19241</v>
      </c>
    </row>
    <row r="34" spans="1:33" x14ac:dyDescent="0.3">
      <c r="A34" t="s">
        <v>52</v>
      </c>
      <c r="B34" s="1" t="s">
        <v>12</v>
      </c>
      <c r="C34" s="2">
        <v>5198000</v>
      </c>
      <c r="D34" s="2">
        <v>4507000</v>
      </c>
      <c r="E34" s="2">
        <v>4565000</v>
      </c>
      <c r="F34" s="2">
        <v>3713000</v>
      </c>
      <c r="G34" s="2">
        <v>3600000</v>
      </c>
      <c r="H34" s="2">
        <f>SUM(C34:G34)</f>
        <v>21583000</v>
      </c>
      <c r="I34" s="6">
        <f>G34/C34</f>
        <v>0.69257406694882651</v>
      </c>
      <c r="J34" t="b">
        <f t="shared" si="0"/>
        <v>1</v>
      </c>
      <c r="K34" s="2">
        <f t="shared" si="1"/>
        <v>5701686.2000000002</v>
      </c>
      <c r="L34" t="b">
        <f t="shared" si="2"/>
        <v>1</v>
      </c>
      <c r="N34" s="6"/>
      <c r="O34" s="6"/>
      <c r="P34" s="6"/>
      <c r="Q34" s="6"/>
      <c r="R34" s="6"/>
      <c r="S34" s="8"/>
      <c r="T34" s="9">
        <f t="shared" si="3"/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f t="shared" ref="AA34:AA75" si="12">SUM(V34+W34+X34+Y34+Z34)</f>
        <v>0</v>
      </c>
      <c r="AG34" s="7">
        <f t="shared" ref="AG34:AG80" si="13">SUM(AB34:AF34)</f>
        <v>0</v>
      </c>
    </row>
    <row r="35" spans="1:33" x14ac:dyDescent="0.3">
      <c r="A35" t="s">
        <v>53</v>
      </c>
      <c r="B35" s="1" t="s">
        <v>12</v>
      </c>
      <c r="C35" s="2">
        <v>2115005</v>
      </c>
      <c r="D35" s="2">
        <v>2099509</v>
      </c>
      <c r="E35" s="2">
        <v>2008001</v>
      </c>
      <c r="F35" s="2">
        <v>1875037</v>
      </c>
      <c r="G35" s="2">
        <v>1873965</v>
      </c>
      <c r="H35" s="2">
        <f>SUM(C35:G35)</f>
        <v>9971517</v>
      </c>
      <c r="I35" s="6">
        <f>G35/C35</f>
        <v>0.88603336635137975</v>
      </c>
      <c r="J35" t="b">
        <f t="shared" si="0"/>
        <v>1</v>
      </c>
      <c r="K35" s="2">
        <f t="shared" si="1"/>
        <v>2319948.9844999998</v>
      </c>
      <c r="L35" t="b">
        <f t="shared" si="2"/>
        <v>1</v>
      </c>
      <c r="N35" s="6"/>
      <c r="O35" s="6"/>
      <c r="P35" s="6"/>
      <c r="Q35" s="6"/>
      <c r="R35" s="6"/>
      <c r="S35" s="8"/>
      <c r="T35" s="9">
        <f t="shared" si="3"/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f t="shared" si="12"/>
        <v>0</v>
      </c>
      <c r="AG35" s="7">
        <f t="shared" si="13"/>
        <v>0</v>
      </c>
    </row>
    <row r="36" spans="1:33" x14ac:dyDescent="0.3">
      <c r="A36" t="s">
        <v>54</v>
      </c>
      <c r="B36" s="1"/>
      <c r="I36" s="6"/>
      <c r="J36" t="b">
        <f t="shared" si="0"/>
        <v>0</v>
      </c>
      <c r="K36" s="2">
        <f t="shared" si="1"/>
        <v>0</v>
      </c>
      <c r="L36" t="b">
        <f t="shared" si="2"/>
        <v>0</v>
      </c>
      <c r="M36" s="7" t="s">
        <v>12</v>
      </c>
      <c r="N36" s="6"/>
      <c r="O36" s="6">
        <f t="shared" ref="O36:R41" si="14">AC36/W36</f>
        <v>0.92079788794367845</v>
      </c>
      <c r="P36" s="6">
        <f t="shared" si="14"/>
        <v>0.82914940287594441</v>
      </c>
      <c r="Q36" s="6">
        <f t="shared" si="14"/>
        <v>0.49285846781673159</v>
      </c>
      <c r="R36" s="6">
        <f t="shared" si="14"/>
        <v>0.83932135728542911</v>
      </c>
      <c r="S36" s="8" cm="1">
        <f t="array" ref="S36">SUM(N36:R36/4)</f>
        <v>0.77053177898044589</v>
      </c>
      <c r="T36" s="9">
        <f t="shared" si="3"/>
        <v>0.77053177898044589</v>
      </c>
      <c r="U36" t="str">
        <f t="shared" ref="U36:U41" si="15">IF(IFERROR(T36, 0) &gt; 0, IF(T36&lt;75%,"&lt;75%",IF(T36&lt;90%,"75-90%",IF(T36&lt;100%,"90-99%","100%"))), "")</f>
        <v>75-90%</v>
      </c>
      <c r="V36" s="7"/>
      <c r="W36" s="7">
        <v>3409</v>
      </c>
      <c r="X36" s="7">
        <v>4103</v>
      </c>
      <c r="Y36" s="7">
        <v>5391</v>
      </c>
      <c r="Z36" s="7">
        <v>3006</v>
      </c>
      <c r="AA36" s="7">
        <f t="shared" si="12"/>
        <v>15909</v>
      </c>
      <c r="AC36">
        <v>3139</v>
      </c>
      <c r="AD36">
        <v>3402</v>
      </c>
      <c r="AE36">
        <v>2657</v>
      </c>
      <c r="AF36">
        <v>2523</v>
      </c>
      <c r="AG36" s="7">
        <f t="shared" si="13"/>
        <v>11721</v>
      </c>
    </row>
    <row r="37" spans="1:33" x14ac:dyDescent="0.3">
      <c r="A37" t="s">
        <v>55</v>
      </c>
      <c r="B37" s="1" t="s">
        <v>12</v>
      </c>
      <c r="C37" s="2">
        <v>21937131</v>
      </c>
      <c r="D37" s="2">
        <v>22182080</v>
      </c>
      <c r="E37" s="2">
        <v>18287080</v>
      </c>
      <c r="F37" s="2">
        <v>14166308</v>
      </c>
      <c r="G37" s="2">
        <v>19242487</v>
      </c>
      <c r="H37" s="2">
        <f>SUM(C37:G37)</f>
        <v>95815086</v>
      </c>
      <c r="I37" s="6">
        <f>G37/C37</f>
        <v>0.87716515892620595</v>
      </c>
      <c r="J37" t="b">
        <f t="shared" ref="J37:J68" si="16">IF(G37&lt;C37, TRUE, FALSE)</f>
        <v>1</v>
      </c>
      <c r="K37" s="2">
        <f t="shared" ref="K37:K68" si="17">C37*1.0969</f>
        <v>24062838.993900001</v>
      </c>
      <c r="L37" t="b">
        <f t="shared" ref="L37:L68" si="18">IF(G37&lt;K37, TRUE, FALSE)</f>
        <v>1</v>
      </c>
      <c r="M37" s="7" t="s">
        <v>12</v>
      </c>
      <c r="N37" s="6">
        <f>AB37/V37</f>
        <v>0.22714364235983878</v>
      </c>
      <c r="O37" s="6">
        <f t="shared" si="14"/>
        <v>0.49247393495822689</v>
      </c>
      <c r="P37" s="6">
        <f t="shared" si="14"/>
        <v>0.41198580707240801</v>
      </c>
      <c r="Q37" s="6">
        <f t="shared" si="14"/>
        <v>0.85892787415630056</v>
      </c>
      <c r="R37" s="6">
        <f t="shared" si="14"/>
        <v>0.59906982474512582</v>
      </c>
      <c r="S37" s="8" cm="1">
        <f t="array" ref="S37">SUM(N37:R37/5)</f>
        <v>0.51792021665838006</v>
      </c>
      <c r="T37" s="9">
        <f t="shared" ref="T37:T68" si="19">S37</f>
        <v>0.51792021665838006</v>
      </c>
      <c r="U37" t="str">
        <f t="shared" si="15"/>
        <v>&lt;75%</v>
      </c>
      <c r="V37" s="7">
        <v>21832</v>
      </c>
      <c r="W37" s="7">
        <v>28966</v>
      </c>
      <c r="X37" s="7">
        <v>66512</v>
      </c>
      <c r="Y37" s="7">
        <v>53781</v>
      </c>
      <c r="Z37" s="7">
        <v>97401</v>
      </c>
      <c r="AA37" s="7">
        <f t="shared" si="12"/>
        <v>268492</v>
      </c>
      <c r="AB37">
        <v>4959</v>
      </c>
      <c r="AC37">
        <v>14265</v>
      </c>
      <c r="AD37">
        <v>27402</v>
      </c>
      <c r="AE37">
        <v>46194</v>
      </c>
      <c r="AF37">
        <v>58350</v>
      </c>
      <c r="AG37" s="7">
        <f t="shared" si="13"/>
        <v>151170</v>
      </c>
    </row>
    <row r="38" spans="1:33" x14ac:dyDescent="0.3">
      <c r="A38" t="s">
        <v>56</v>
      </c>
      <c r="B38" s="1"/>
      <c r="I38" s="6"/>
      <c r="J38" t="b">
        <f t="shared" si="16"/>
        <v>0</v>
      </c>
      <c r="K38" s="2">
        <f t="shared" si="17"/>
        <v>0</v>
      </c>
      <c r="L38" t="b">
        <f t="shared" si="18"/>
        <v>0</v>
      </c>
      <c r="M38" s="7" t="s">
        <v>12</v>
      </c>
      <c r="N38" s="6">
        <f>AB38/V38</f>
        <v>0.87432802876570903</v>
      </c>
      <c r="O38" s="6">
        <f t="shared" si="14"/>
        <v>0.81650563441214641</v>
      </c>
      <c r="P38" s="6">
        <f t="shared" si="14"/>
        <v>0.68556132248968082</v>
      </c>
      <c r="Q38" s="6">
        <f t="shared" si="14"/>
        <v>0.85150897622513344</v>
      </c>
      <c r="R38" s="6">
        <f t="shared" si="14"/>
        <v>0.86210981850492818</v>
      </c>
      <c r="S38" s="8" cm="1">
        <f t="array" ref="S38">SUM(N38:R38/5)</f>
        <v>0.81800275607951956</v>
      </c>
      <c r="T38" s="9">
        <f t="shared" si="19"/>
        <v>0.81800275607951956</v>
      </c>
      <c r="U38" t="str">
        <f t="shared" si="15"/>
        <v>75-90%</v>
      </c>
      <c r="V38" s="7">
        <v>56178</v>
      </c>
      <c r="W38" s="7">
        <v>48541</v>
      </c>
      <c r="X38" s="7">
        <v>73407</v>
      </c>
      <c r="Y38" s="7">
        <v>51525</v>
      </c>
      <c r="Z38" s="7">
        <v>60773</v>
      </c>
      <c r="AA38" s="7">
        <f t="shared" si="12"/>
        <v>290424</v>
      </c>
      <c r="AB38">
        <v>49118</v>
      </c>
      <c r="AC38">
        <v>39634</v>
      </c>
      <c r="AD38">
        <v>50325</v>
      </c>
      <c r="AE38">
        <v>43874</v>
      </c>
      <c r="AF38">
        <v>52393</v>
      </c>
      <c r="AG38" s="7">
        <f t="shared" si="13"/>
        <v>235344</v>
      </c>
    </row>
    <row r="39" spans="1:33" x14ac:dyDescent="0.3">
      <c r="A39" t="s">
        <v>222</v>
      </c>
      <c r="B39" s="27"/>
      <c r="I39" s="6"/>
      <c r="J39" t="b">
        <f t="shared" si="16"/>
        <v>0</v>
      </c>
      <c r="K39" s="2">
        <f t="shared" si="17"/>
        <v>0</v>
      </c>
      <c r="L39" t="b">
        <f t="shared" si="18"/>
        <v>0</v>
      </c>
      <c r="M39" s="7" t="s">
        <v>12</v>
      </c>
      <c r="N39" s="10">
        <f>AB39/V39</f>
        <v>0.85123303479591583</v>
      </c>
      <c r="O39" s="10">
        <f t="shared" si="14"/>
        <v>0.87052634604881129</v>
      </c>
      <c r="P39" s="10">
        <f t="shared" si="14"/>
        <v>0.81489477413932332</v>
      </c>
      <c r="Q39" s="10">
        <f t="shared" si="14"/>
        <v>0.85113295395757893</v>
      </c>
      <c r="R39" s="10">
        <f t="shared" si="14"/>
        <v>0.80052561397149258</v>
      </c>
      <c r="S39" s="8" cm="1">
        <f t="array" ref="S39">SUM(N39:R39/5)</f>
        <v>0.83766254458262446</v>
      </c>
      <c r="T39" s="9">
        <f t="shared" si="19"/>
        <v>0.83766254458262446</v>
      </c>
      <c r="U39" t="str">
        <f t="shared" si="15"/>
        <v>75-90%</v>
      </c>
      <c r="V39" s="7">
        <v>119583</v>
      </c>
      <c r="W39" s="7">
        <v>69574</v>
      </c>
      <c r="X39" s="7">
        <v>121358</v>
      </c>
      <c r="Y39" s="7">
        <v>96650</v>
      </c>
      <c r="Z39" s="7">
        <v>77243</v>
      </c>
      <c r="AA39" s="7">
        <f t="shared" si="12"/>
        <v>484408</v>
      </c>
      <c r="AB39">
        <v>101793</v>
      </c>
      <c r="AC39">
        <v>60566</v>
      </c>
      <c r="AD39">
        <v>98894</v>
      </c>
      <c r="AE39">
        <v>82262</v>
      </c>
      <c r="AF39">
        <v>61835</v>
      </c>
      <c r="AG39" s="7">
        <f t="shared" si="13"/>
        <v>405350</v>
      </c>
    </row>
    <row r="40" spans="1:33" x14ac:dyDescent="0.3">
      <c r="A40" t="s">
        <v>57</v>
      </c>
      <c r="B40" s="1" t="s">
        <v>12</v>
      </c>
      <c r="C40" s="3">
        <v>3581139.15</v>
      </c>
      <c r="D40" s="3">
        <v>4412416.0599999996</v>
      </c>
      <c r="E40" s="3">
        <v>4626026.75</v>
      </c>
      <c r="F40" s="3">
        <v>4397826.24</v>
      </c>
      <c r="G40" s="3">
        <v>8105757</v>
      </c>
      <c r="H40" s="2">
        <f>SUM(C40:G40)</f>
        <v>25123165.199999999</v>
      </c>
      <c r="I40" s="6">
        <f>G40/C40</f>
        <v>2.2634577045128226</v>
      </c>
      <c r="J40" t="b">
        <f t="shared" si="16"/>
        <v>0</v>
      </c>
      <c r="K40" s="2">
        <f t="shared" si="17"/>
        <v>3928151.5336349998</v>
      </c>
      <c r="L40" t="b">
        <f t="shared" si="18"/>
        <v>0</v>
      </c>
      <c r="M40" s="7" t="s">
        <v>12</v>
      </c>
      <c r="N40" s="6">
        <f>AB40/V40</f>
        <v>0.73404779502340478</v>
      </c>
      <c r="O40" s="6">
        <f t="shared" si="14"/>
        <v>0.69240458496032242</v>
      </c>
      <c r="P40" s="6">
        <f t="shared" si="14"/>
        <v>0.73401488655725944</v>
      </c>
      <c r="Q40" s="6">
        <f t="shared" si="14"/>
        <v>0.82402912621359226</v>
      </c>
      <c r="R40" s="6">
        <f t="shared" si="14"/>
        <v>0.81998277347114557</v>
      </c>
      <c r="S40" s="8" cm="1">
        <f t="array" ref="S40">SUM(N40:R40/5)</f>
        <v>0.76089583324514498</v>
      </c>
      <c r="T40" s="9">
        <f t="shared" si="19"/>
        <v>0.76089583324514498</v>
      </c>
      <c r="U40" t="str">
        <f t="shared" si="15"/>
        <v>75-90%</v>
      </c>
      <c r="V40" s="7">
        <v>8118</v>
      </c>
      <c r="W40" s="7">
        <v>7939</v>
      </c>
      <c r="X40" s="7">
        <v>11151</v>
      </c>
      <c r="Y40" s="7">
        <v>10712</v>
      </c>
      <c r="Z40" s="7">
        <v>8127</v>
      </c>
      <c r="AA40" s="7">
        <f t="shared" si="12"/>
        <v>46047</v>
      </c>
      <c r="AB40">
        <v>5959</v>
      </c>
      <c r="AC40">
        <v>5497</v>
      </c>
      <c r="AD40">
        <v>8185</v>
      </c>
      <c r="AE40">
        <v>8827</v>
      </c>
      <c r="AF40">
        <v>6664</v>
      </c>
      <c r="AG40" s="7">
        <f t="shared" si="13"/>
        <v>35132</v>
      </c>
    </row>
    <row r="41" spans="1:33" x14ac:dyDescent="0.3">
      <c r="A41" t="s">
        <v>58</v>
      </c>
      <c r="B41" s="1"/>
      <c r="I41" s="6"/>
      <c r="J41" t="b">
        <f t="shared" si="16"/>
        <v>0</v>
      </c>
      <c r="K41" s="2">
        <f t="shared" si="17"/>
        <v>0</v>
      </c>
      <c r="L41" t="b">
        <f t="shared" si="18"/>
        <v>0</v>
      </c>
      <c r="M41" s="7" t="s">
        <v>12</v>
      </c>
      <c r="N41" s="6">
        <f>AB41/V41</f>
        <v>0.72019329058637671</v>
      </c>
      <c r="O41" s="6">
        <f t="shared" si="14"/>
        <v>0.8840846366145354</v>
      </c>
      <c r="P41" s="6">
        <f t="shared" si="14"/>
        <v>0.770946594179725</v>
      </c>
      <c r="Q41" s="6">
        <f t="shared" si="14"/>
        <v>0.90980868508958401</v>
      </c>
      <c r="R41" s="6">
        <f t="shared" si="14"/>
        <v>0.94291792235419247</v>
      </c>
      <c r="S41" s="8" cm="1">
        <f t="array" ref="S41">SUM(N41:R41/5)</f>
        <v>0.84559022576488285</v>
      </c>
      <c r="T41" s="9">
        <f t="shared" si="19"/>
        <v>0.84559022576488285</v>
      </c>
      <c r="U41" t="str">
        <f t="shared" si="15"/>
        <v>75-90%</v>
      </c>
      <c r="V41" s="7">
        <v>10761</v>
      </c>
      <c r="W41" s="7">
        <v>9783</v>
      </c>
      <c r="X41" s="7">
        <v>12508</v>
      </c>
      <c r="Y41" s="7">
        <v>9879</v>
      </c>
      <c r="Z41" s="7">
        <v>11282</v>
      </c>
      <c r="AA41" s="7">
        <f t="shared" si="12"/>
        <v>54213</v>
      </c>
      <c r="AB41">
        <v>7750</v>
      </c>
      <c r="AC41">
        <v>8649</v>
      </c>
      <c r="AD41">
        <v>9643</v>
      </c>
      <c r="AE41">
        <v>8988</v>
      </c>
      <c r="AF41">
        <v>10638</v>
      </c>
      <c r="AG41" s="7">
        <f t="shared" si="13"/>
        <v>45668</v>
      </c>
    </row>
    <row r="42" spans="1:33" x14ac:dyDescent="0.3">
      <c r="A42" t="s">
        <v>59</v>
      </c>
      <c r="B42" s="1" t="s">
        <v>12</v>
      </c>
      <c r="C42" s="2">
        <v>7547700</v>
      </c>
      <c r="D42" s="2">
        <v>8046200</v>
      </c>
      <c r="E42" s="2">
        <v>7726500</v>
      </c>
      <c r="F42" s="2">
        <v>5633500</v>
      </c>
      <c r="G42" s="2">
        <v>8535400</v>
      </c>
      <c r="H42" s="2">
        <f>SUM(C42:G42)</f>
        <v>37489300</v>
      </c>
      <c r="I42" s="6">
        <f>G42/C42</f>
        <v>1.1308610570107449</v>
      </c>
      <c r="J42" t="b">
        <f t="shared" si="16"/>
        <v>0</v>
      </c>
      <c r="K42" s="2">
        <f t="shared" si="17"/>
        <v>8279072.1299999999</v>
      </c>
      <c r="L42" t="b">
        <f t="shared" si="18"/>
        <v>0</v>
      </c>
      <c r="N42" s="6"/>
      <c r="O42" s="6"/>
      <c r="P42" s="6"/>
      <c r="Q42" s="6"/>
      <c r="R42" s="6"/>
      <c r="S42" s="8"/>
      <c r="T42" s="9">
        <f t="shared" si="19"/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f t="shared" si="12"/>
        <v>0</v>
      </c>
      <c r="AG42" s="7">
        <f t="shared" si="13"/>
        <v>0</v>
      </c>
    </row>
    <row r="43" spans="1:33" x14ac:dyDescent="0.3">
      <c r="A43" t="s">
        <v>60</v>
      </c>
      <c r="B43" s="1" t="s">
        <v>12</v>
      </c>
      <c r="C43" s="39">
        <v>8611076</v>
      </c>
      <c r="D43" s="39">
        <v>9749645.0999999996</v>
      </c>
      <c r="E43" s="39">
        <v>5878037</v>
      </c>
      <c r="F43" s="39">
        <v>5268177</v>
      </c>
      <c r="G43" s="39">
        <v>5652759.7400000002</v>
      </c>
      <c r="H43" s="2">
        <f>SUM(C43:G43)</f>
        <v>35159694.840000004</v>
      </c>
      <c r="I43" s="6">
        <f>G43/C43</f>
        <v>0.65645219482443307</v>
      </c>
      <c r="J43" t="b">
        <f t="shared" si="16"/>
        <v>1</v>
      </c>
      <c r="K43" s="2">
        <f t="shared" si="17"/>
        <v>9445489.2643999998</v>
      </c>
      <c r="L43" t="b">
        <f t="shared" si="18"/>
        <v>1</v>
      </c>
      <c r="N43" s="6"/>
      <c r="O43" s="6"/>
      <c r="P43" s="6"/>
      <c r="Q43" s="6"/>
      <c r="R43" s="6"/>
      <c r="S43" s="8"/>
      <c r="T43" s="9">
        <f t="shared" si="19"/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f t="shared" si="12"/>
        <v>0</v>
      </c>
      <c r="AG43" s="7">
        <f t="shared" si="13"/>
        <v>0</v>
      </c>
    </row>
    <row r="44" spans="1:33" x14ac:dyDescent="0.3">
      <c r="A44" t="s">
        <v>61</v>
      </c>
      <c r="B44" s="1"/>
      <c r="C44" s="2"/>
      <c r="D44" s="2"/>
      <c r="E44" s="2"/>
      <c r="F44" s="2"/>
      <c r="G44" s="2"/>
      <c r="H44" s="2"/>
      <c r="I44" s="6"/>
      <c r="J44" t="b">
        <f t="shared" si="16"/>
        <v>0</v>
      </c>
      <c r="K44" s="2">
        <f t="shared" si="17"/>
        <v>0</v>
      </c>
      <c r="L44" t="b">
        <f t="shared" si="18"/>
        <v>0</v>
      </c>
      <c r="N44" s="6"/>
      <c r="O44" s="6"/>
      <c r="P44" s="6"/>
      <c r="Q44" s="6"/>
      <c r="R44" s="6"/>
      <c r="S44" s="8"/>
      <c r="T44" s="9">
        <f t="shared" si="19"/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f t="shared" si="12"/>
        <v>0</v>
      </c>
      <c r="AG44" s="7">
        <f t="shared" si="13"/>
        <v>0</v>
      </c>
    </row>
    <row r="45" spans="1:33" x14ac:dyDescent="0.3">
      <c r="A45" t="s">
        <v>62</v>
      </c>
      <c r="B45" s="1" t="s">
        <v>12</v>
      </c>
      <c r="C45" s="2">
        <v>14405401</v>
      </c>
      <c r="D45" s="2">
        <v>14526315</v>
      </c>
      <c r="E45" s="2">
        <v>18162602</v>
      </c>
      <c r="F45" s="2">
        <v>17134317</v>
      </c>
      <c r="G45" s="2">
        <v>21392387</v>
      </c>
      <c r="H45" s="2">
        <f t="shared" ref="H45:H59" si="20">SUM(C45:G45)</f>
        <v>85621022</v>
      </c>
      <c r="I45" s="6">
        <f t="shared" ref="I45:I59" si="21">G45/C45</f>
        <v>1.4850254428877059</v>
      </c>
      <c r="J45" t="b">
        <f t="shared" si="16"/>
        <v>0</v>
      </c>
      <c r="K45" s="2">
        <f t="shared" si="17"/>
        <v>15801284.356899999</v>
      </c>
      <c r="L45" t="b">
        <f t="shared" si="18"/>
        <v>0</v>
      </c>
      <c r="N45" s="6"/>
      <c r="O45" s="6"/>
      <c r="P45" s="6"/>
      <c r="Q45" s="6"/>
      <c r="R45" s="6"/>
      <c r="S45" s="8"/>
      <c r="T45" s="9">
        <f t="shared" si="19"/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f t="shared" si="12"/>
        <v>0</v>
      </c>
      <c r="AG45" s="7">
        <f t="shared" si="13"/>
        <v>0</v>
      </c>
    </row>
    <row r="46" spans="1:33" x14ac:dyDescent="0.3">
      <c r="A46" t="s">
        <v>63</v>
      </c>
      <c r="B46" s="1" t="s">
        <v>12</v>
      </c>
      <c r="C46" s="2">
        <v>1930215</v>
      </c>
      <c r="D46" s="2">
        <v>1949882</v>
      </c>
      <c r="E46" s="2">
        <v>1951904</v>
      </c>
      <c r="F46" s="2">
        <v>1827851</v>
      </c>
      <c r="G46" s="2">
        <v>1704457</v>
      </c>
      <c r="H46" s="2">
        <f t="shared" si="20"/>
        <v>9364309</v>
      </c>
      <c r="I46" s="6">
        <f t="shared" si="21"/>
        <v>0.88303997223107267</v>
      </c>
      <c r="J46" t="b">
        <f t="shared" si="16"/>
        <v>1</v>
      </c>
      <c r="K46" s="2">
        <f t="shared" si="17"/>
        <v>2117252.8335000002</v>
      </c>
      <c r="L46" t="b">
        <f t="shared" si="18"/>
        <v>1</v>
      </c>
      <c r="M46" s="7" t="s">
        <v>12</v>
      </c>
      <c r="N46" s="6">
        <f>AB46/V46</f>
        <v>0.99607961399276235</v>
      </c>
      <c r="O46" s="6">
        <f>AC46/W46</f>
        <v>0.9811377245508982</v>
      </c>
      <c r="P46" s="6">
        <f>AD46/X46</f>
        <v>0.99530883502736511</v>
      </c>
      <c r="Q46" s="6">
        <f>AE46/Y46</f>
        <v>0.99215070643642067</v>
      </c>
      <c r="R46" s="6">
        <f>AF46/Z46</f>
        <v>0.9752403145936499</v>
      </c>
      <c r="S46" s="8" cm="1">
        <f t="array" ref="S46">SUM(N46:R46/5)</f>
        <v>0.98798343892021923</v>
      </c>
      <c r="T46" s="9">
        <f t="shared" si="19"/>
        <v>0.98798343892021923</v>
      </c>
      <c r="U46" t="str">
        <f>IF(IFERROR(T46, 0) &gt; 0, IF(T46&lt;75%,"&lt;75%",IF(T46&lt;90%,"75-90%",IF(T46&lt;100%,"90-99%","100%"))), "")</f>
        <v>90-99%</v>
      </c>
      <c r="V46" s="7">
        <v>3316</v>
      </c>
      <c r="W46" s="7">
        <v>3340</v>
      </c>
      <c r="X46" s="7">
        <v>5116</v>
      </c>
      <c r="Y46" s="7">
        <v>3185</v>
      </c>
      <c r="Z46" s="7">
        <v>3433</v>
      </c>
      <c r="AA46" s="7">
        <f t="shared" si="12"/>
        <v>18390</v>
      </c>
      <c r="AB46">
        <v>3303</v>
      </c>
      <c r="AC46">
        <v>3277</v>
      </c>
      <c r="AD46">
        <v>5092</v>
      </c>
      <c r="AE46">
        <v>3160</v>
      </c>
      <c r="AF46">
        <v>3348</v>
      </c>
      <c r="AG46" s="7">
        <f t="shared" si="13"/>
        <v>18180</v>
      </c>
    </row>
    <row r="47" spans="1:33" x14ac:dyDescent="0.3">
      <c r="A47" t="s">
        <v>64</v>
      </c>
      <c r="B47" s="1" t="s">
        <v>12</v>
      </c>
      <c r="C47" s="2">
        <v>6808512</v>
      </c>
      <c r="D47" s="2">
        <v>5394683</v>
      </c>
      <c r="E47" s="2">
        <v>8336959</v>
      </c>
      <c r="F47" s="2">
        <v>9314253</v>
      </c>
      <c r="G47" s="2">
        <v>8511000</v>
      </c>
      <c r="H47" s="2">
        <f t="shared" si="20"/>
        <v>38365407</v>
      </c>
      <c r="I47" s="6">
        <f t="shared" si="21"/>
        <v>1.2500528749894251</v>
      </c>
      <c r="J47" t="b">
        <f t="shared" si="16"/>
        <v>0</v>
      </c>
      <c r="K47" s="2">
        <f t="shared" si="17"/>
        <v>7468256.8127999995</v>
      </c>
      <c r="L47" t="b">
        <f t="shared" si="18"/>
        <v>0</v>
      </c>
      <c r="N47" s="6"/>
      <c r="O47" s="6"/>
      <c r="P47" s="6"/>
      <c r="Q47" s="6"/>
      <c r="R47" s="6"/>
      <c r="S47" s="8"/>
      <c r="T47" s="9">
        <f t="shared" si="19"/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f t="shared" si="12"/>
        <v>0</v>
      </c>
      <c r="AG47" s="7">
        <f t="shared" si="13"/>
        <v>0</v>
      </c>
    </row>
    <row r="48" spans="1:33" x14ac:dyDescent="0.3">
      <c r="A48" t="s">
        <v>65</v>
      </c>
      <c r="B48" s="1" t="s">
        <v>12</v>
      </c>
      <c r="C48" s="28">
        <v>3323045</v>
      </c>
      <c r="D48" s="28">
        <v>3371373</v>
      </c>
      <c r="E48" s="28">
        <v>3371373</v>
      </c>
      <c r="F48" s="28">
        <v>3150046</v>
      </c>
      <c r="G48" s="28">
        <v>7110687</v>
      </c>
      <c r="H48" s="2">
        <f t="shared" si="20"/>
        <v>20326524</v>
      </c>
      <c r="I48" s="6">
        <f t="shared" si="21"/>
        <v>2.139810625495592</v>
      </c>
      <c r="J48" t="b">
        <f t="shared" si="16"/>
        <v>0</v>
      </c>
      <c r="K48" s="2">
        <f t="shared" si="17"/>
        <v>3645048.0605000001</v>
      </c>
      <c r="L48" t="b">
        <f t="shared" si="18"/>
        <v>0</v>
      </c>
      <c r="N48" s="6"/>
      <c r="O48" s="6"/>
      <c r="P48" s="6"/>
      <c r="Q48" s="6"/>
      <c r="R48" s="6"/>
      <c r="S48" s="8"/>
      <c r="T48" s="9">
        <f t="shared" si="19"/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f t="shared" si="12"/>
        <v>0</v>
      </c>
      <c r="AG48" s="7">
        <f t="shared" si="13"/>
        <v>0</v>
      </c>
    </row>
    <row r="49" spans="1:33" x14ac:dyDescent="0.3">
      <c r="A49" t="s">
        <v>68</v>
      </c>
      <c r="B49" s="1" t="s">
        <v>12</v>
      </c>
      <c r="C49" s="38">
        <v>22022074.289999999</v>
      </c>
      <c r="D49" s="38">
        <v>17446793.280000001</v>
      </c>
      <c r="E49" s="38">
        <v>23522340.440000001</v>
      </c>
      <c r="F49" s="38">
        <v>24511618</v>
      </c>
      <c r="G49" s="38">
        <v>20745200</v>
      </c>
      <c r="H49" s="2">
        <f t="shared" si="20"/>
        <v>108248026.01000001</v>
      </c>
      <c r="I49" s="6">
        <f t="shared" si="21"/>
        <v>0.94201843690174936</v>
      </c>
      <c r="J49" t="b">
        <f t="shared" si="16"/>
        <v>1</v>
      </c>
      <c r="K49" s="2">
        <f t="shared" si="17"/>
        <v>24156013.288700998</v>
      </c>
      <c r="L49" t="b">
        <f t="shared" si="18"/>
        <v>1</v>
      </c>
      <c r="M49" s="7" t="s">
        <v>12</v>
      </c>
      <c r="N49" s="6">
        <v>0.98399999999999999</v>
      </c>
      <c r="O49" s="6">
        <v>1</v>
      </c>
      <c r="P49" s="6">
        <v>1</v>
      </c>
      <c r="Q49" s="6">
        <v>0.99360000000000004</v>
      </c>
      <c r="R49" s="6">
        <v>0.96299999999999997</v>
      </c>
      <c r="S49" s="8" cm="1">
        <f t="array" ref="S49">SUM(N49:R49/5)</f>
        <v>0.98812</v>
      </c>
      <c r="T49" s="9">
        <f t="shared" si="19"/>
        <v>0.98812</v>
      </c>
      <c r="U49" t="str">
        <f>IF(IFERROR(T49, 0) &gt; 0, IF(T49&lt;75%,"&lt;75%",IF(T49&lt;90%,"75-90%",IF(T49&lt;100%,"90-99%","100%"))), "")</f>
        <v>90-99%</v>
      </c>
      <c r="V49" s="7">
        <v>27333</v>
      </c>
      <c r="W49" s="7">
        <v>31407</v>
      </c>
      <c r="X49" s="7">
        <v>35013</v>
      </c>
      <c r="Y49" s="7">
        <v>24815</v>
      </c>
      <c r="Z49" s="7">
        <v>12794</v>
      </c>
      <c r="AA49" s="7">
        <f t="shared" si="12"/>
        <v>131362</v>
      </c>
      <c r="AG49" s="7">
        <f t="shared" si="13"/>
        <v>0</v>
      </c>
    </row>
    <row r="50" spans="1:33" x14ac:dyDescent="0.3">
      <c r="A50" t="s">
        <v>69</v>
      </c>
      <c r="B50" s="1" t="s">
        <v>12</v>
      </c>
      <c r="C50" s="2">
        <v>23507000</v>
      </c>
      <c r="D50" s="2">
        <v>28998000</v>
      </c>
      <c r="E50" s="2">
        <v>27030000</v>
      </c>
      <c r="F50" s="2">
        <v>27363000</v>
      </c>
      <c r="G50" s="2">
        <v>23219000</v>
      </c>
      <c r="H50" s="2">
        <f t="shared" si="20"/>
        <v>130117000</v>
      </c>
      <c r="I50" s="6">
        <f t="shared" si="21"/>
        <v>0.98774833028459608</v>
      </c>
      <c r="J50" t="b">
        <f t="shared" si="16"/>
        <v>1</v>
      </c>
      <c r="K50" s="2">
        <f t="shared" si="17"/>
        <v>25784828.300000001</v>
      </c>
      <c r="L50" t="b">
        <f t="shared" si="18"/>
        <v>1</v>
      </c>
      <c r="N50" s="6"/>
      <c r="O50" s="6"/>
      <c r="P50" s="6"/>
      <c r="Q50" s="6"/>
      <c r="R50" s="6"/>
      <c r="S50" s="8"/>
      <c r="T50" s="9">
        <f t="shared" si="19"/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f t="shared" si="12"/>
        <v>0</v>
      </c>
      <c r="AG50" s="7">
        <f t="shared" si="13"/>
        <v>0</v>
      </c>
    </row>
    <row r="51" spans="1:33" x14ac:dyDescent="0.3">
      <c r="A51" t="s">
        <v>70</v>
      </c>
      <c r="B51" s="1" t="s">
        <v>12</v>
      </c>
      <c r="C51" s="2">
        <v>3131000</v>
      </c>
      <c r="D51" s="2">
        <v>4241000</v>
      </c>
      <c r="E51" s="2">
        <v>3068000</v>
      </c>
      <c r="F51" s="2">
        <v>2567000</v>
      </c>
      <c r="G51" s="2">
        <v>2567000</v>
      </c>
      <c r="H51" s="2">
        <f t="shared" si="20"/>
        <v>15574000</v>
      </c>
      <c r="I51" s="6">
        <f t="shared" si="21"/>
        <v>0.81986585755349728</v>
      </c>
      <c r="J51" t="b">
        <f t="shared" si="16"/>
        <v>1</v>
      </c>
      <c r="K51" s="2">
        <f t="shared" si="17"/>
        <v>3434393.9</v>
      </c>
      <c r="L51" t="b">
        <f t="shared" si="18"/>
        <v>1</v>
      </c>
      <c r="M51" s="7" t="s">
        <v>12</v>
      </c>
      <c r="N51" s="6"/>
      <c r="O51" s="6"/>
      <c r="P51" s="6">
        <f>AD51/X51</f>
        <v>0.73023834803939514</v>
      </c>
      <c r="Q51" s="6">
        <f>AE51/Y51</f>
        <v>0.93551183149865647</v>
      </c>
      <c r="R51" s="6">
        <f>AF51/Z51</f>
        <v>0.80144433625446287</v>
      </c>
      <c r="S51" s="8" cm="1">
        <f t="array" ref="S51">SUM(N51:R51/3)</f>
        <v>0.8223981719308382</v>
      </c>
      <c r="T51" s="9">
        <f t="shared" si="19"/>
        <v>0.8223981719308382</v>
      </c>
      <c r="U51" t="str">
        <f>IF(IFERROR(T51, 0) &gt; 0, IF(T51&lt;75%,"&lt;75%",IF(T51&lt;90%,"75-90%",IF(T51&lt;100%,"90-99%","100%"))), "")</f>
        <v>75-90%</v>
      </c>
      <c r="V51" s="7">
        <v>0</v>
      </c>
      <c r="W51" s="7">
        <v>0</v>
      </c>
      <c r="X51" s="7">
        <v>27313</v>
      </c>
      <c r="Y51" s="7">
        <v>23074</v>
      </c>
      <c r="Z51" s="7">
        <v>24648</v>
      </c>
      <c r="AA51" s="7">
        <f t="shared" si="12"/>
        <v>75035</v>
      </c>
      <c r="AD51">
        <v>19945</v>
      </c>
      <c r="AE51">
        <v>21586</v>
      </c>
      <c r="AF51">
        <v>19754</v>
      </c>
      <c r="AG51" s="7">
        <f t="shared" si="13"/>
        <v>61285</v>
      </c>
    </row>
    <row r="52" spans="1:33" x14ac:dyDescent="0.3">
      <c r="A52" s="29" t="s">
        <v>72</v>
      </c>
      <c r="B52" s="27" t="s">
        <v>12</v>
      </c>
      <c r="C52" s="28">
        <v>68600000</v>
      </c>
      <c r="D52" s="28">
        <v>72100000</v>
      </c>
      <c r="E52" s="28">
        <v>58900000</v>
      </c>
      <c r="F52" s="28">
        <v>47000000</v>
      </c>
      <c r="G52" s="28">
        <v>47300000</v>
      </c>
      <c r="H52" s="28">
        <f t="shared" si="20"/>
        <v>293900000</v>
      </c>
      <c r="I52" s="10">
        <f t="shared" si="21"/>
        <v>0.68950437317784252</v>
      </c>
      <c r="J52" s="29" t="b">
        <f t="shared" si="16"/>
        <v>1</v>
      </c>
      <c r="K52" s="28">
        <f t="shared" si="17"/>
        <v>75247340</v>
      </c>
      <c r="L52" s="29" t="b">
        <f t="shared" si="18"/>
        <v>1</v>
      </c>
      <c r="N52" s="10"/>
      <c r="O52" s="10"/>
      <c r="P52" s="10"/>
      <c r="Q52" s="10"/>
      <c r="R52" s="10"/>
      <c r="S52" s="8"/>
      <c r="T52" s="35">
        <f t="shared" si="19"/>
        <v>0</v>
      </c>
      <c r="U52" s="29"/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f t="shared" si="12"/>
        <v>0</v>
      </c>
      <c r="AB52" s="29"/>
      <c r="AC52" s="29"/>
      <c r="AD52" s="29"/>
      <c r="AE52" s="29"/>
      <c r="AF52" s="29"/>
      <c r="AG52" s="7">
        <f t="shared" si="13"/>
        <v>0</v>
      </c>
    </row>
    <row r="53" spans="1:33" x14ac:dyDescent="0.3">
      <c r="A53" t="s">
        <v>73</v>
      </c>
      <c r="B53" s="1" t="s">
        <v>12</v>
      </c>
      <c r="C53" s="2">
        <v>4591000</v>
      </c>
      <c r="D53" s="2">
        <v>3668000</v>
      </c>
      <c r="E53" s="2">
        <v>5901000</v>
      </c>
      <c r="F53" s="2">
        <v>5321000</v>
      </c>
      <c r="G53" s="2">
        <v>11673000</v>
      </c>
      <c r="H53" s="2">
        <f t="shared" si="20"/>
        <v>31154000</v>
      </c>
      <c r="I53" s="6">
        <f t="shared" si="21"/>
        <v>2.5425833151818775</v>
      </c>
      <c r="J53" t="b">
        <f t="shared" si="16"/>
        <v>0</v>
      </c>
      <c r="K53" s="2">
        <f t="shared" si="17"/>
        <v>5035867.9000000004</v>
      </c>
      <c r="L53" t="b">
        <f t="shared" si="18"/>
        <v>0</v>
      </c>
      <c r="M53" s="7" t="s">
        <v>12</v>
      </c>
      <c r="N53" s="6">
        <v>0.76</v>
      </c>
      <c r="O53" s="6">
        <v>0.83699999999999997</v>
      </c>
      <c r="P53" s="6">
        <v>0.60499999999999998</v>
      </c>
      <c r="Q53" s="6">
        <v>0.78700000000000003</v>
      </c>
      <c r="R53" s="6">
        <v>0.77</v>
      </c>
      <c r="S53" s="8" cm="1">
        <f t="array" ref="S53">SUM(N53:R53/5)</f>
        <v>0.75180000000000002</v>
      </c>
      <c r="T53" s="9">
        <f t="shared" si="19"/>
        <v>0.75180000000000002</v>
      </c>
      <c r="U53" t="str">
        <f>IF(IFERROR(T53, 0) &gt; 0, IF(T53&lt;75%,"&lt;75%",IF(T53&lt;90%,"75-90%",IF(T53&lt;100%,"90-99%","100%"))), "")</f>
        <v>75-90%</v>
      </c>
      <c r="V53" s="7">
        <v>2660</v>
      </c>
      <c r="W53" s="7">
        <v>1985</v>
      </c>
      <c r="X53" s="7">
        <v>3353</v>
      </c>
      <c r="Y53" s="7">
        <v>2408</v>
      </c>
      <c r="Z53" s="7">
        <v>2627</v>
      </c>
      <c r="AA53" s="7">
        <f t="shared" si="12"/>
        <v>13033</v>
      </c>
      <c r="AG53" s="7">
        <f t="shared" si="13"/>
        <v>0</v>
      </c>
    </row>
    <row r="54" spans="1:33" x14ac:dyDescent="0.3">
      <c r="A54" t="s">
        <v>74</v>
      </c>
      <c r="B54" s="1" t="s">
        <v>12</v>
      </c>
      <c r="C54" s="2">
        <v>11236991</v>
      </c>
      <c r="D54" s="2">
        <v>12168316</v>
      </c>
      <c r="E54" s="2">
        <v>12316199</v>
      </c>
      <c r="F54" s="2">
        <v>13377024</v>
      </c>
      <c r="G54" s="2">
        <v>11368574</v>
      </c>
      <c r="H54" s="2">
        <f t="shared" si="20"/>
        <v>60467104</v>
      </c>
      <c r="I54" s="6">
        <f t="shared" si="21"/>
        <v>1.0117098073674706</v>
      </c>
      <c r="J54" t="b">
        <f t="shared" si="16"/>
        <v>0</v>
      </c>
      <c r="K54" s="2">
        <f t="shared" si="17"/>
        <v>12325855.4279</v>
      </c>
      <c r="L54" t="b">
        <f t="shared" si="18"/>
        <v>1</v>
      </c>
      <c r="N54" s="6"/>
      <c r="O54" s="6"/>
      <c r="P54" s="6"/>
      <c r="Q54" s="6"/>
      <c r="R54" s="6"/>
      <c r="S54" s="8"/>
      <c r="T54" s="9">
        <f t="shared" si="19"/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f t="shared" si="12"/>
        <v>0</v>
      </c>
      <c r="AG54" s="7">
        <f t="shared" si="13"/>
        <v>0</v>
      </c>
    </row>
    <row r="55" spans="1:33" x14ac:dyDescent="0.3">
      <c r="A55" t="s">
        <v>75</v>
      </c>
      <c r="B55" s="1" t="s">
        <v>12</v>
      </c>
      <c r="C55" s="2">
        <f>550000+250000+250000+21000</f>
        <v>1071000</v>
      </c>
      <c r="D55" s="2">
        <f>875000+529500+200000+116500</f>
        <v>1721000</v>
      </c>
      <c r="E55" s="2">
        <f>2101000+350000+100000</f>
        <v>2551000</v>
      </c>
      <c r="F55" s="2">
        <f>1451000+800000+580000</f>
        <v>2831000</v>
      </c>
      <c r="G55" s="2">
        <f>1495000+330000</f>
        <v>1825000</v>
      </c>
      <c r="H55" s="2">
        <f t="shared" si="20"/>
        <v>9999000</v>
      </c>
      <c r="I55" s="6">
        <f t="shared" si="21"/>
        <v>1.7040149393090569</v>
      </c>
      <c r="J55" t="b">
        <f t="shared" si="16"/>
        <v>0</v>
      </c>
      <c r="K55" s="2">
        <f t="shared" si="17"/>
        <v>1174779.8999999999</v>
      </c>
      <c r="L55" t="b">
        <f t="shared" si="18"/>
        <v>0</v>
      </c>
      <c r="N55" s="6"/>
      <c r="O55" s="6"/>
      <c r="P55" s="6"/>
      <c r="Q55" s="6"/>
      <c r="R55" s="6"/>
      <c r="S55" s="8"/>
      <c r="T55" s="9">
        <f t="shared" si="19"/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f t="shared" si="12"/>
        <v>0</v>
      </c>
      <c r="AG55" s="7">
        <f t="shared" si="13"/>
        <v>0</v>
      </c>
    </row>
    <row r="56" spans="1:33" x14ac:dyDescent="0.3">
      <c r="A56" t="s">
        <v>77</v>
      </c>
      <c r="B56" s="1" t="s">
        <v>12</v>
      </c>
      <c r="C56" s="38">
        <v>7648600</v>
      </c>
      <c r="D56" s="38">
        <v>7206800</v>
      </c>
      <c r="E56" s="38">
        <v>7125800</v>
      </c>
      <c r="F56" s="38">
        <v>7330957</v>
      </c>
      <c r="G56" s="38">
        <v>7346000</v>
      </c>
      <c r="H56" s="2">
        <f t="shared" si="20"/>
        <v>36658157</v>
      </c>
      <c r="I56" s="6">
        <f t="shared" si="21"/>
        <v>0.96043720419423162</v>
      </c>
      <c r="J56" t="b">
        <f t="shared" si="16"/>
        <v>1</v>
      </c>
      <c r="K56" s="2">
        <f t="shared" si="17"/>
        <v>8389749.3399999999</v>
      </c>
      <c r="L56" t="b">
        <f t="shared" si="18"/>
        <v>1</v>
      </c>
      <c r="M56" s="7" t="s">
        <v>12</v>
      </c>
      <c r="N56" s="6">
        <f>AB56/V56</f>
        <v>0.82083904221308801</v>
      </c>
      <c r="O56" s="6">
        <f>AC56/W56</f>
        <v>0.8804919611765577</v>
      </c>
      <c r="P56" s="6">
        <f>AD56/X56</f>
        <v>0.8657857710894965</v>
      </c>
      <c r="Q56" s="6">
        <f>AE56/Y56</f>
        <v>0.88476887263052872</v>
      </c>
      <c r="R56" s="6">
        <f>AF56/Z56</f>
        <v>0.60847018150388932</v>
      </c>
      <c r="S56" s="8" cm="1">
        <f t="array" ref="S56">SUM(N56:R56/5)</f>
        <v>0.8120711657227121</v>
      </c>
      <c r="T56" s="9">
        <f t="shared" si="19"/>
        <v>0.8120711657227121</v>
      </c>
      <c r="U56" t="str">
        <f>IF(IFERROR(T56, 0) &gt; 0, IF(T56&lt;75%,"&lt;75%",IF(T56&lt;90%,"75-90%",IF(T56&lt;100%,"90-99%","100%"))), "")</f>
        <v>75-90%</v>
      </c>
      <c r="V56" s="7">
        <v>15327</v>
      </c>
      <c r="W56" s="7">
        <v>13497</v>
      </c>
      <c r="X56" s="7">
        <v>16347</v>
      </c>
      <c r="Y56" s="7">
        <v>12028</v>
      </c>
      <c r="Z56" s="7">
        <v>4628</v>
      </c>
      <c r="AA56" s="7">
        <f t="shared" si="12"/>
        <v>61827</v>
      </c>
      <c r="AB56">
        <f>3385+9196</f>
        <v>12581</v>
      </c>
      <c r="AC56">
        <f>4067+7817</f>
        <v>11884</v>
      </c>
      <c r="AD56">
        <f>4651+9502</f>
        <v>14153</v>
      </c>
      <c r="AE56">
        <f>3053+7240+11+338</f>
        <v>10642</v>
      </c>
      <c r="AF56">
        <f>23+2793</f>
        <v>2816</v>
      </c>
      <c r="AG56" s="7">
        <f t="shared" si="13"/>
        <v>52076</v>
      </c>
    </row>
    <row r="57" spans="1:33" x14ac:dyDescent="0.3">
      <c r="A57" t="s">
        <v>78</v>
      </c>
      <c r="B57" s="1" t="s">
        <v>12</v>
      </c>
      <c r="C57" s="2">
        <v>21118000</v>
      </c>
      <c r="D57" s="2">
        <v>18217000</v>
      </c>
      <c r="E57" s="2">
        <v>25678000</v>
      </c>
      <c r="F57" s="2">
        <v>30199000</v>
      </c>
      <c r="G57" s="2">
        <v>34489000</v>
      </c>
      <c r="H57" s="2">
        <f t="shared" si="20"/>
        <v>129701000</v>
      </c>
      <c r="I57" s="6">
        <f t="shared" si="21"/>
        <v>1.633156548915617</v>
      </c>
      <c r="J57" t="b">
        <f t="shared" si="16"/>
        <v>0</v>
      </c>
      <c r="K57" s="2">
        <f t="shared" si="17"/>
        <v>23164334.199999999</v>
      </c>
      <c r="L57" t="b">
        <f t="shared" si="18"/>
        <v>0</v>
      </c>
      <c r="N57" s="6"/>
      <c r="O57" s="6"/>
      <c r="P57" s="6"/>
      <c r="Q57" s="6"/>
      <c r="R57" s="6"/>
      <c r="S57" s="8"/>
      <c r="T57" s="9">
        <f t="shared" si="19"/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f t="shared" si="12"/>
        <v>0</v>
      </c>
      <c r="AG57" s="7">
        <f t="shared" si="13"/>
        <v>0</v>
      </c>
    </row>
    <row r="58" spans="1:33" x14ac:dyDescent="0.3">
      <c r="A58" t="s">
        <v>79</v>
      </c>
      <c r="B58" s="1" t="s">
        <v>12</v>
      </c>
      <c r="C58" s="2">
        <v>1925940</v>
      </c>
      <c r="D58" s="2">
        <v>1918940</v>
      </c>
      <c r="E58" s="2">
        <v>1949220</v>
      </c>
      <c r="F58" s="2">
        <v>1988470</v>
      </c>
      <c r="G58" s="2">
        <v>1988740</v>
      </c>
      <c r="H58" s="2">
        <f t="shared" si="20"/>
        <v>9771310</v>
      </c>
      <c r="I58" s="6">
        <f t="shared" si="21"/>
        <v>1.0326074540224515</v>
      </c>
      <c r="J58" t="b">
        <f t="shared" si="16"/>
        <v>0</v>
      </c>
      <c r="K58" s="2">
        <f t="shared" si="17"/>
        <v>2112563.5860000001</v>
      </c>
      <c r="L58" t="b">
        <f t="shared" si="18"/>
        <v>1</v>
      </c>
      <c r="N58" s="6"/>
      <c r="O58" s="6"/>
      <c r="P58" s="6"/>
      <c r="Q58" s="6"/>
      <c r="R58" s="6"/>
      <c r="S58" s="8"/>
      <c r="T58" s="9">
        <f t="shared" si="19"/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f t="shared" si="12"/>
        <v>0</v>
      </c>
      <c r="AG58" s="7">
        <f t="shared" si="13"/>
        <v>0</v>
      </c>
    </row>
    <row r="59" spans="1:33" x14ac:dyDescent="0.3">
      <c r="A59" t="s">
        <v>80</v>
      </c>
      <c r="B59" s="1" t="s">
        <v>12</v>
      </c>
      <c r="C59" s="2">
        <v>5735470</v>
      </c>
      <c r="D59" s="2">
        <v>5586760</v>
      </c>
      <c r="E59" s="2">
        <v>4404540</v>
      </c>
      <c r="F59" s="2">
        <v>4454890</v>
      </c>
      <c r="G59" s="2">
        <v>4564180</v>
      </c>
      <c r="H59" s="2">
        <f t="shared" si="20"/>
        <v>24745840</v>
      </c>
      <c r="I59" s="6">
        <f t="shared" si="21"/>
        <v>0.7957813396286616</v>
      </c>
      <c r="J59" t="b">
        <f t="shared" si="16"/>
        <v>1</v>
      </c>
      <c r="K59" s="2">
        <f t="shared" si="17"/>
        <v>6291237.0429999996</v>
      </c>
      <c r="L59" t="b">
        <f t="shared" si="18"/>
        <v>1</v>
      </c>
      <c r="N59" s="6"/>
      <c r="O59" s="6"/>
      <c r="P59" s="6"/>
      <c r="Q59" s="6"/>
      <c r="R59" s="6"/>
      <c r="S59" s="8"/>
      <c r="T59" s="9">
        <f t="shared" si="19"/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f t="shared" si="12"/>
        <v>0</v>
      </c>
      <c r="AG59" s="7">
        <f t="shared" si="13"/>
        <v>0</v>
      </c>
    </row>
    <row r="60" spans="1:33" x14ac:dyDescent="0.3">
      <c r="A60" t="s">
        <v>82</v>
      </c>
      <c r="B60" s="1"/>
      <c r="C60" s="2"/>
      <c r="D60" s="2"/>
      <c r="E60" s="2"/>
      <c r="F60" s="2"/>
      <c r="G60" s="2"/>
      <c r="H60" s="2"/>
      <c r="I60" s="6"/>
      <c r="J60" t="b">
        <f t="shared" si="16"/>
        <v>0</v>
      </c>
      <c r="K60" s="2">
        <f t="shared" si="17"/>
        <v>0</v>
      </c>
      <c r="L60" t="b">
        <f t="shared" si="18"/>
        <v>0</v>
      </c>
      <c r="M60" s="7" t="s">
        <v>12</v>
      </c>
      <c r="N60" s="6">
        <v>1</v>
      </c>
      <c r="O60" s="6">
        <v>1</v>
      </c>
      <c r="P60" s="6">
        <v>1</v>
      </c>
      <c r="Q60" s="6">
        <v>1</v>
      </c>
      <c r="R60" s="6">
        <v>1</v>
      </c>
      <c r="S60" s="8" cm="1">
        <f t="array" ref="S60">SUM(N60:R60/5)</f>
        <v>1</v>
      </c>
      <c r="T60" s="9">
        <f t="shared" si="19"/>
        <v>1</v>
      </c>
      <c r="U60" t="str">
        <f>IF(IFERROR(T60, 0) &gt; 0, IF(T60&lt;75%,"&lt;75%",IF(T60&lt;90%,"75-90%",IF(T60&lt;100%,"90-99%","100%"))), "")</f>
        <v>100%</v>
      </c>
      <c r="V60" s="7">
        <v>342</v>
      </c>
      <c r="W60" s="7">
        <v>248</v>
      </c>
      <c r="X60" s="7">
        <v>342</v>
      </c>
      <c r="Y60" s="7">
        <v>203</v>
      </c>
      <c r="Z60" s="7">
        <v>325</v>
      </c>
      <c r="AA60" s="7">
        <f t="shared" si="12"/>
        <v>1460</v>
      </c>
      <c r="AG60" s="7">
        <f t="shared" si="13"/>
        <v>0</v>
      </c>
    </row>
    <row r="61" spans="1:33" x14ac:dyDescent="0.3">
      <c r="A61" t="s">
        <v>83</v>
      </c>
      <c r="B61" s="1"/>
      <c r="C61" s="2"/>
      <c r="D61" s="2"/>
      <c r="E61" s="2"/>
      <c r="F61" s="2"/>
      <c r="G61" s="2"/>
      <c r="H61" s="2"/>
      <c r="I61" s="6"/>
      <c r="J61" t="b">
        <f t="shared" si="16"/>
        <v>0</v>
      </c>
      <c r="K61" s="2">
        <f t="shared" si="17"/>
        <v>0</v>
      </c>
      <c r="L61" t="b">
        <f t="shared" si="18"/>
        <v>0</v>
      </c>
      <c r="M61" s="7" t="s">
        <v>12</v>
      </c>
      <c r="N61" s="6">
        <f>AB61/V61</f>
        <v>0.58223062381852553</v>
      </c>
      <c r="O61" s="6">
        <f>AC61/W61</f>
        <v>0.55000000000000004</v>
      </c>
      <c r="P61" s="6">
        <f>AD61/X61</f>
        <v>0.58275058275058278</v>
      </c>
      <c r="Q61" s="6">
        <f>AE61/Y61</f>
        <v>0.50617283950617287</v>
      </c>
      <c r="R61" s="6">
        <f>AF61/Z61</f>
        <v>0.61</v>
      </c>
      <c r="S61" s="8" cm="1">
        <f t="array" ref="S61">SUM(N61:R61/5)</f>
        <v>0.56623080921505631</v>
      </c>
      <c r="T61" s="9">
        <f t="shared" si="19"/>
        <v>0.56623080921505631</v>
      </c>
      <c r="U61" t="str">
        <f>IF(IFERROR(T61, 0) &gt; 0, IF(T61&lt;75%,"&lt;75%",IF(T61&lt;90%,"75-90%",IF(T61&lt;100%,"90-99%","100%"))), "")</f>
        <v>&lt;75%</v>
      </c>
      <c r="V61" s="7">
        <v>529</v>
      </c>
      <c r="W61" s="7">
        <v>320</v>
      </c>
      <c r="X61" s="7">
        <v>429</v>
      </c>
      <c r="Y61" s="7">
        <v>162</v>
      </c>
      <c r="Z61" s="7">
        <v>100</v>
      </c>
      <c r="AA61" s="7">
        <f t="shared" si="12"/>
        <v>1540</v>
      </c>
      <c r="AB61">
        <v>308</v>
      </c>
      <c r="AC61">
        <v>176</v>
      </c>
      <c r="AD61">
        <v>250</v>
      </c>
      <c r="AE61">
        <v>82</v>
      </c>
      <c r="AF61">
        <v>61</v>
      </c>
      <c r="AG61" s="7">
        <f t="shared" si="13"/>
        <v>877</v>
      </c>
    </row>
    <row r="62" spans="1:33" x14ac:dyDescent="0.3">
      <c r="A62" t="s">
        <v>84</v>
      </c>
      <c r="B62" s="1" t="s">
        <v>12</v>
      </c>
      <c r="C62" s="2">
        <v>28088000</v>
      </c>
      <c r="D62" s="2">
        <v>35099000</v>
      </c>
      <c r="E62" s="2">
        <v>40216000</v>
      </c>
      <c r="F62" s="2">
        <v>36833000</v>
      </c>
      <c r="G62" s="2">
        <v>42754000</v>
      </c>
      <c r="H62" s="2">
        <f>SUM(C62:G62)</f>
        <v>182990000</v>
      </c>
      <c r="I62" s="6">
        <f>G62/C62</f>
        <v>1.5221446881230418</v>
      </c>
      <c r="J62" t="b">
        <f t="shared" si="16"/>
        <v>0</v>
      </c>
      <c r="K62" s="2">
        <f t="shared" si="17"/>
        <v>30809727.199999999</v>
      </c>
      <c r="L62" t="b">
        <f t="shared" si="18"/>
        <v>0</v>
      </c>
      <c r="N62" s="6"/>
      <c r="O62" s="6"/>
      <c r="P62" s="6"/>
      <c r="Q62" s="6"/>
      <c r="R62" s="6"/>
      <c r="S62" s="8"/>
      <c r="T62" s="9">
        <f t="shared" si="19"/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f t="shared" si="12"/>
        <v>0</v>
      </c>
      <c r="AG62" s="7">
        <f t="shared" si="13"/>
        <v>0</v>
      </c>
    </row>
    <row r="63" spans="1:33" x14ac:dyDescent="0.3">
      <c r="A63" t="s">
        <v>89</v>
      </c>
      <c r="B63" s="1"/>
      <c r="I63" s="6"/>
      <c r="J63" t="b">
        <f t="shared" si="16"/>
        <v>0</v>
      </c>
      <c r="K63" s="2">
        <f t="shared" si="17"/>
        <v>0</v>
      </c>
      <c r="L63" t="b">
        <f t="shared" si="18"/>
        <v>0</v>
      </c>
      <c r="M63" s="7" t="s">
        <v>12</v>
      </c>
      <c r="N63" s="6">
        <f>AB63/V63</f>
        <v>0.95390070921985815</v>
      </c>
      <c r="O63" s="6">
        <f>AC63/W63</f>
        <v>0.94986376021798369</v>
      </c>
      <c r="P63" s="6">
        <f>AD63/X63</f>
        <v>0.92451821811437018</v>
      </c>
      <c r="Q63" s="6">
        <f>AE63/Y63</f>
        <v>0.98476238582312581</v>
      </c>
      <c r="R63" s="6">
        <f>AF63/Z63</f>
        <v>0.92153893802264364</v>
      </c>
      <c r="S63" s="8" cm="1">
        <f t="array" ref="S63">SUM(N63:R63/5)</f>
        <v>0.94691680227959629</v>
      </c>
      <c r="T63" s="9">
        <f t="shared" si="19"/>
        <v>0.94691680227959629</v>
      </c>
      <c r="U63" t="str">
        <f>IF(IFERROR(T63, 0) &gt; 0, IF(T63&lt;75%,"&lt;75%",IF(T63&lt;90%,"75-90%",IF(T63&lt;100%,"90-99%","100%"))), "")</f>
        <v>90-99%</v>
      </c>
      <c r="V63" s="7">
        <v>846</v>
      </c>
      <c r="W63" s="7">
        <v>18350</v>
      </c>
      <c r="X63" s="7">
        <v>31809</v>
      </c>
      <c r="Y63" s="7">
        <v>23757</v>
      </c>
      <c r="Z63" s="7">
        <v>29059</v>
      </c>
      <c r="AA63" s="7">
        <f t="shared" si="12"/>
        <v>103821</v>
      </c>
      <c r="AB63">
        <v>807</v>
      </c>
      <c r="AC63">
        <v>17430</v>
      </c>
      <c r="AD63">
        <v>29408</v>
      </c>
      <c r="AE63">
        <v>23395</v>
      </c>
      <c r="AF63">
        <v>26779</v>
      </c>
      <c r="AG63" s="7">
        <f t="shared" si="13"/>
        <v>97819</v>
      </c>
    </row>
    <row r="64" spans="1:33" x14ac:dyDescent="0.3">
      <c r="A64" t="s">
        <v>90</v>
      </c>
      <c r="B64" s="1"/>
      <c r="C64" s="2"/>
      <c r="D64" s="2"/>
      <c r="E64" s="2"/>
      <c r="F64" s="2"/>
      <c r="G64" s="2"/>
      <c r="H64" s="2"/>
      <c r="I64" s="6"/>
      <c r="J64" t="b">
        <f t="shared" si="16"/>
        <v>0</v>
      </c>
      <c r="K64" s="2">
        <f t="shared" si="17"/>
        <v>0</v>
      </c>
      <c r="L64" t="b">
        <f t="shared" si="18"/>
        <v>0</v>
      </c>
      <c r="M64" s="7" t="s">
        <v>12</v>
      </c>
      <c r="N64" s="6">
        <v>0.9879</v>
      </c>
      <c r="O64" s="6">
        <v>0.99760000000000004</v>
      </c>
      <c r="P64" s="6">
        <v>0.99490000000000001</v>
      </c>
      <c r="Q64" s="6">
        <v>0.99760000000000004</v>
      </c>
      <c r="R64" s="6">
        <v>0.98089999999999999</v>
      </c>
      <c r="S64" s="8" cm="1">
        <f t="array" ref="S64">SUM(N64:R64/5)</f>
        <v>0.99177999999999999</v>
      </c>
      <c r="T64" s="9">
        <f t="shared" si="19"/>
        <v>0.99177999999999999</v>
      </c>
      <c r="U64" t="str">
        <f>IF(IFERROR(T64, 0) &gt; 0, IF(T64&lt;75%,"&lt;75%",IF(T64&lt;90%,"75-90%",IF(T64&lt;100%,"90-99%","100%"))), "")</f>
        <v>90-99%</v>
      </c>
      <c r="V64" s="7">
        <v>6774</v>
      </c>
      <c r="W64" s="7">
        <v>17371</v>
      </c>
      <c r="X64" s="7">
        <v>25706</v>
      </c>
      <c r="Y64" s="7">
        <v>14085</v>
      </c>
      <c r="Z64" s="7">
        <v>18657</v>
      </c>
      <c r="AA64" s="7">
        <f t="shared" si="12"/>
        <v>82593</v>
      </c>
      <c r="AG64" s="7">
        <f t="shared" si="13"/>
        <v>0</v>
      </c>
    </row>
    <row r="65" spans="1:33" x14ac:dyDescent="0.3">
      <c r="A65" t="s">
        <v>91</v>
      </c>
      <c r="B65" s="1" t="s">
        <v>12</v>
      </c>
      <c r="C65" s="2">
        <v>18767</v>
      </c>
      <c r="D65" s="2">
        <v>18691</v>
      </c>
      <c r="E65" s="2">
        <v>20067</v>
      </c>
      <c r="F65" s="2">
        <v>18707</v>
      </c>
      <c r="G65" s="2">
        <v>20529</v>
      </c>
      <c r="H65" s="2">
        <f>SUM(C65:G65)</f>
        <v>96761</v>
      </c>
      <c r="I65" s="6">
        <f>G65/C65</f>
        <v>1.0938882080247243</v>
      </c>
      <c r="J65" t="b">
        <f t="shared" si="16"/>
        <v>0</v>
      </c>
      <c r="K65" s="2">
        <f t="shared" si="17"/>
        <v>20585.522300000001</v>
      </c>
      <c r="L65" t="b">
        <f t="shared" si="18"/>
        <v>1</v>
      </c>
      <c r="N65" s="6"/>
      <c r="O65" s="6"/>
      <c r="P65" s="6"/>
      <c r="Q65" s="6"/>
      <c r="R65" s="6"/>
      <c r="S65" s="8"/>
      <c r="T65" s="9">
        <f t="shared" si="19"/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f t="shared" si="12"/>
        <v>0</v>
      </c>
      <c r="AG65" s="7">
        <f t="shared" si="13"/>
        <v>0</v>
      </c>
    </row>
    <row r="66" spans="1:33" x14ac:dyDescent="0.3">
      <c r="A66" t="s">
        <v>92</v>
      </c>
      <c r="B66" s="1"/>
      <c r="I66" s="6"/>
      <c r="J66" t="b">
        <f t="shared" si="16"/>
        <v>0</v>
      </c>
      <c r="K66" s="2">
        <f t="shared" si="17"/>
        <v>0</v>
      </c>
      <c r="L66" t="b">
        <f t="shared" si="18"/>
        <v>0</v>
      </c>
      <c r="M66" s="7" t="s">
        <v>12</v>
      </c>
      <c r="N66" s="6"/>
      <c r="O66" s="6">
        <v>0.79</v>
      </c>
      <c r="P66" s="6">
        <v>0.72</v>
      </c>
      <c r="Q66" s="6">
        <v>0.9</v>
      </c>
      <c r="R66" s="6">
        <v>0.89</v>
      </c>
      <c r="S66" s="8" cm="1">
        <f t="array" ref="S66">SUM(N66:R66/4)</f>
        <v>0.82500000000000007</v>
      </c>
      <c r="T66" s="9">
        <f t="shared" si="19"/>
        <v>0.82500000000000007</v>
      </c>
      <c r="U66" t="str">
        <f>IF(IFERROR(T66, 0) &gt; 0, IF(T66&lt;75%,"&lt;75%",IF(T66&lt;90%,"75-90%",IF(T66&lt;100%,"90-99%","100%"))), "")</f>
        <v>75-90%</v>
      </c>
      <c r="V66" s="7">
        <v>0</v>
      </c>
      <c r="W66" s="7">
        <v>1643</v>
      </c>
      <c r="X66" s="7">
        <v>1769</v>
      </c>
      <c r="Y66" s="7">
        <v>1881</v>
      </c>
      <c r="Z66" s="7">
        <v>789</v>
      </c>
      <c r="AA66" s="7">
        <f t="shared" si="12"/>
        <v>6082</v>
      </c>
      <c r="AG66" s="7">
        <f t="shared" si="13"/>
        <v>0</v>
      </c>
    </row>
    <row r="67" spans="1:33" x14ac:dyDescent="0.3">
      <c r="A67" t="s">
        <v>93</v>
      </c>
      <c r="B67" s="1"/>
      <c r="C67" s="2"/>
      <c r="D67" s="2"/>
      <c r="E67" s="2"/>
      <c r="F67" s="2"/>
      <c r="G67" s="2"/>
      <c r="H67" s="2"/>
      <c r="I67" s="6"/>
      <c r="J67" t="b">
        <f t="shared" si="16"/>
        <v>0</v>
      </c>
      <c r="K67" s="2">
        <f t="shared" si="17"/>
        <v>0</v>
      </c>
      <c r="L67" t="b">
        <f t="shared" si="18"/>
        <v>0</v>
      </c>
      <c r="M67" s="7" t="s">
        <v>12</v>
      </c>
      <c r="N67" s="6">
        <f>AB67/V67</f>
        <v>1</v>
      </c>
      <c r="O67" s="6">
        <f>AC67/W67</f>
        <v>1</v>
      </c>
      <c r="P67" s="6">
        <f>AD67/X67</f>
        <v>1</v>
      </c>
      <c r="Q67" s="6">
        <f>AE67/Y67</f>
        <v>1</v>
      </c>
      <c r="R67" s="6">
        <f>AF67/Z67</f>
        <v>1</v>
      </c>
      <c r="S67" s="8" cm="1">
        <f t="array" ref="S67">SUM(N67:R67/5)</f>
        <v>1</v>
      </c>
      <c r="T67" s="9">
        <f t="shared" si="19"/>
        <v>1</v>
      </c>
      <c r="U67" t="str">
        <f>IF(IFERROR(T67, 0) &gt; 0, IF(T67&lt;75%,"&lt;75%",IF(T67&lt;90%,"75-90%",IF(T67&lt;100%,"90-99%","100%"))), "")</f>
        <v>100%</v>
      </c>
      <c r="V67" s="7">
        <v>1034</v>
      </c>
      <c r="W67" s="7">
        <v>704</v>
      </c>
      <c r="X67" s="7">
        <v>972</v>
      </c>
      <c r="Y67" s="7">
        <v>926</v>
      </c>
      <c r="Z67" s="7">
        <v>862</v>
      </c>
      <c r="AA67" s="7">
        <f t="shared" si="12"/>
        <v>4498</v>
      </c>
      <c r="AB67">
        <v>1034</v>
      </c>
      <c r="AC67">
        <v>704</v>
      </c>
      <c r="AD67">
        <v>972</v>
      </c>
      <c r="AE67">
        <v>926</v>
      </c>
      <c r="AF67">
        <v>862</v>
      </c>
      <c r="AG67" s="7">
        <f t="shared" si="13"/>
        <v>4498</v>
      </c>
    </row>
    <row r="68" spans="1:33" x14ac:dyDescent="0.3">
      <c r="A68" s="29" t="s">
        <v>94</v>
      </c>
      <c r="B68" s="27" t="s">
        <v>12</v>
      </c>
      <c r="C68" s="54">
        <v>688900</v>
      </c>
      <c r="D68" s="54">
        <v>604900</v>
      </c>
      <c r="E68" s="54">
        <v>649900</v>
      </c>
      <c r="F68" s="54">
        <v>645900</v>
      </c>
      <c r="G68" s="54">
        <v>445900</v>
      </c>
      <c r="H68" s="28">
        <f>SUM(C68:G68)</f>
        <v>3035500</v>
      </c>
      <c r="I68" s="10">
        <f>G68/C68</f>
        <v>0.64726375381042245</v>
      </c>
      <c r="J68" s="29" t="b">
        <f t="shared" si="16"/>
        <v>1</v>
      </c>
      <c r="K68" s="28">
        <f t="shared" si="17"/>
        <v>755654.41</v>
      </c>
      <c r="L68" s="29" t="b">
        <f t="shared" si="18"/>
        <v>1</v>
      </c>
      <c r="N68" s="10"/>
      <c r="O68" s="10"/>
      <c r="P68" s="10"/>
      <c r="Q68" s="10"/>
      <c r="R68" s="10"/>
      <c r="S68" s="8"/>
      <c r="T68" s="35">
        <f t="shared" si="19"/>
        <v>0</v>
      </c>
      <c r="U68" s="29"/>
      <c r="V68" s="7">
        <v>0</v>
      </c>
      <c r="W68" s="7">
        <v>0</v>
      </c>
      <c r="X68" s="7">
        <v>0</v>
      </c>
      <c r="Y68" s="7">
        <v>0</v>
      </c>
      <c r="Z68" s="29">
        <v>0</v>
      </c>
      <c r="AA68" s="7">
        <f t="shared" si="12"/>
        <v>0</v>
      </c>
      <c r="AB68" s="29"/>
      <c r="AC68" s="29"/>
      <c r="AD68" s="29"/>
      <c r="AE68" s="29"/>
      <c r="AF68" s="29"/>
      <c r="AG68" s="7">
        <f t="shared" si="13"/>
        <v>0</v>
      </c>
    </row>
    <row r="69" spans="1:33" x14ac:dyDescent="0.3">
      <c r="A69" t="s">
        <v>95</v>
      </c>
      <c r="B69" s="1" t="s">
        <v>12</v>
      </c>
      <c r="C69" s="2">
        <v>3842951</v>
      </c>
      <c r="D69" s="2">
        <v>3323981</v>
      </c>
      <c r="E69" s="2">
        <v>4460240</v>
      </c>
      <c r="F69" s="2">
        <v>4621720</v>
      </c>
      <c r="G69" s="2">
        <v>4582480</v>
      </c>
      <c r="H69" s="2">
        <f>SUM(C69:G69)</f>
        <v>20831372</v>
      </c>
      <c r="I69" s="6">
        <f>G69/C69</f>
        <v>1.1924377906457824</v>
      </c>
      <c r="J69" t="b">
        <f t="shared" ref="J69:J100" si="22">IF(G69&lt;C69, TRUE, FALSE)</f>
        <v>0</v>
      </c>
      <c r="K69" s="2">
        <f t="shared" ref="K69:K100" si="23">C69*1.0969</f>
        <v>4215332.9518999998</v>
      </c>
      <c r="L69" t="b">
        <f t="shared" ref="L69:L100" si="24">IF(G69&lt;K69, TRUE, FALSE)</f>
        <v>0</v>
      </c>
      <c r="M69" s="7" t="s">
        <v>12</v>
      </c>
      <c r="N69" s="6">
        <v>1</v>
      </c>
      <c r="O69" s="6">
        <v>1</v>
      </c>
      <c r="P69" s="6">
        <v>1</v>
      </c>
      <c r="Q69" s="6">
        <v>1</v>
      </c>
      <c r="S69" s="8" cm="1">
        <f t="array" ref="S69">SUM(N69:R69/4)</f>
        <v>1</v>
      </c>
      <c r="T69" s="9">
        <f t="shared" ref="T69:T100" si="25">S69</f>
        <v>1</v>
      </c>
      <c r="U69" t="str">
        <f>IF(IFERROR(T69, 0) &gt; 0, IF(T69&lt;75%,"&lt;75%",IF(T69&lt;90%,"75-90%",IF(T69&lt;100%,"90-99%","100%"))), "")</f>
        <v>100%</v>
      </c>
      <c r="V69" s="7">
        <v>162</v>
      </c>
      <c r="W69" s="7">
        <v>211</v>
      </c>
      <c r="X69" s="7">
        <v>61</v>
      </c>
      <c r="Y69" s="7">
        <v>18</v>
      </c>
      <c r="Z69" s="7">
        <v>0</v>
      </c>
      <c r="AA69" s="7">
        <f t="shared" si="12"/>
        <v>452</v>
      </c>
      <c r="AG69" s="7">
        <f t="shared" si="13"/>
        <v>0</v>
      </c>
    </row>
    <row r="70" spans="1:33" x14ac:dyDescent="0.3">
      <c r="A70" t="s">
        <v>99</v>
      </c>
      <c r="B70" s="1" t="s">
        <v>12</v>
      </c>
      <c r="C70" s="2">
        <v>3790000</v>
      </c>
      <c r="D70" s="2">
        <v>3660000</v>
      </c>
      <c r="E70" s="2">
        <v>3710000</v>
      </c>
      <c r="F70" s="2">
        <v>3860000</v>
      </c>
      <c r="G70" s="2">
        <v>3860000</v>
      </c>
      <c r="H70" s="2">
        <f>SUM(C70:G70)</f>
        <v>18880000</v>
      </c>
      <c r="I70" s="6">
        <f>G70/C70</f>
        <v>1.0184696569920844</v>
      </c>
      <c r="J70" t="b">
        <f t="shared" si="22"/>
        <v>0</v>
      </c>
      <c r="K70" s="2">
        <f t="shared" si="23"/>
        <v>4157251</v>
      </c>
      <c r="L70" t="b">
        <f t="shared" si="24"/>
        <v>1</v>
      </c>
      <c r="N70" s="6"/>
      <c r="O70" s="6"/>
      <c r="P70" s="6"/>
      <c r="Q70" s="6"/>
      <c r="R70" s="6"/>
      <c r="S70" s="8"/>
      <c r="T70" s="9">
        <f t="shared" si="25"/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f t="shared" si="12"/>
        <v>0</v>
      </c>
      <c r="AG70" s="7">
        <f t="shared" si="13"/>
        <v>0</v>
      </c>
    </row>
    <row r="71" spans="1:33" x14ac:dyDescent="0.3">
      <c r="A71" t="s">
        <v>100</v>
      </c>
      <c r="B71" s="1"/>
      <c r="C71" s="29"/>
      <c r="D71" s="29"/>
      <c r="E71" s="29"/>
      <c r="F71" s="29"/>
      <c r="G71" s="29"/>
      <c r="I71" s="6"/>
      <c r="J71" t="b">
        <f t="shared" si="22"/>
        <v>0</v>
      </c>
      <c r="K71" s="2">
        <f t="shared" si="23"/>
        <v>0</v>
      </c>
      <c r="L71" t="b">
        <f t="shared" si="24"/>
        <v>0</v>
      </c>
      <c r="N71" s="6"/>
      <c r="O71" s="6"/>
      <c r="P71" s="6"/>
      <c r="Q71" s="6"/>
      <c r="R71" s="6"/>
      <c r="S71" s="8"/>
      <c r="T71" s="9">
        <f t="shared" si="25"/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f t="shared" si="12"/>
        <v>0</v>
      </c>
      <c r="AG71" s="7">
        <f t="shared" si="13"/>
        <v>0</v>
      </c>
    </row>
    <row r="72" spans="1:33" x14ac:dyDescent="0.3">
      <c r="A72" t="s">
        <v>101</v>
      </c>
      <c r="B72" s="1" t="s">
        <v>12</v>
      </c>
      <c r="C72" s="37">
        <v>777800</v>
      </c>
      <c r="D72" s="37">
        <v>683300</v>
      </c>
      <c r="E72" s="37">
        <v>732000</v>
      </c>
      <c r="F72" s="37">
        <v>759000</v>
      </c>
      <c r="G72" s="37">
        <v>758000</v>
      </c>
      <c r="H72" s="2">
        <f>SUM(C72:G72)</f>
        <v>3710100</v>
      </c>
      <c r="I72" s="6">
        <f>G72/C72</f>
        <v>0.97454358446901512</v>
      </c>
      <c r="J72" t="b">
        <f t="shared" si="22"/>
        <v>1</v>
      </c>
      <c r="K72" s="2">
        <f t="shared" si="23"/>
        <v>853168.82</v>
      </c>
      <c r="L72" t="b">
        <f t="shared" si="24"/>
        <v>1</v>
      </c>
      <c r="N72" s="6"/>
      <c r="O72" s="6"/>
      <c r="P72" s="6"/>
      <c r="Q72" s="6"/>
      <c r="R72" s="6"/>
      <c r="S72" s="8"/>
      <c r="T72" s="9">
        <f t="shared" si="25"/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f t="shared" si="12"/>
        <v>0</v>
      </c>
      <c r="AG72" s="7">
        <f t="shared" si="13"/>
        <v>0</v>
      </c>
    </row>
    <row r="73" spans="1:33" x14ac:dyDescent="0.3">
      <c r="A73" t="s">
        <v>102</v>
      </c>
      <c r="B73" s="1" t="s">
        <v>12</v>
      </c>
      <c r="C73" s="2">
        <v>658552</v>
      </c>
      <c r="D73" s="2">
        <v>667766</v>
      </c>
      <c r="E73" s="2">
        <v>695815</v>
      </c>
      <c r="F73" s="2">
        <v>709500</v>
      </c>
      <c r="G73" s="2">
        <v>721500</v>
      </c>
      <c r="H73" s="2">
        <f>SUM(C73:G73)</f>
        <v>3453133</v>
      </c>
      <c r="I73" s="6">
        <f>G73/C73</f>
        <v>1.0955854662957518</v>
      </c>
      <c r="J73" t="b">
        <f t="shared" si="22"/>
        <v>0</v>
      </c>
      <c r="K73" s="2">
        <f t="shared" si="23"/>
        <v>722365.6888</v>
      </c>
      <c r="L73" t="b">
        <f t="shared" si="24"/>
        <v>1</v>
      </c>
      <c r="M73" s="7" t="s">
        <v>12</v>
      </c>
      <c r="N73" s="6">
        <v>0.93</v>
      </c>
      <c r="O73" s="6">
        <v>0.91</v>
      </c>
      <c r="P73" s="6">
        <v>0.9</v>
      </c>
      <c r="Q73" s="6">
        <v>0.91</v>
      </c>
      <c r="R73" s="6">
        <v>0.92</v>
      </c>
      <c r="S73" s="8" cm="1">
        <f t="array" ref="S73">SUM(N73:R73/5)</f>
        <v>0.91399999999999992</v>
      </c>
      <c r="T73" s="9">
        <f t="shared" si="25"/>
        <v>0.91399999999999992</v>
      </c>
      <c r="U73" t="str">
        <f>IF(IFERROR(T73, 0) &gt; 0, IF(T73&lt;75%,"&lt;75%",IF(T73&lt;90%,"75-90%",IF(T73&lt;100%,"90-99%","100%"))), "")</f>
        <v>90-99%</v>
      </c>
      <c r="V73" s="7">
        <v>815</v>
      </c>
      <c r="W73" s="7">
        <v>1461</v>
      </c>
      <c r="X73" s="7">
        <v>1489</v>
      </c>
      <c r="Y73" s="7">
        <v>2105</v>
      </c>
      <c r="Z73" s="7">
        <v>2461</v>
      </c>
      <c r="AA73" s="7">
        <f t="shared" si="12"/>
        <v>8331</v>
      </c>
      <c r="AG73" s="7">
        <f t="shared" si="13"/>
        <v>0</v>
      </c>
    </row>
    <row r="74" spans="1:33" x14ac:dyDescent="0.3">
      <c r="A74" t="s">
        <v>103</v>
      </c>
      <c r="B74" s="1" t="s">
        <v>12</v>
      </c>
      <c r="C74" s="2">
        <v>6480000</v>
      </c>
      <c r="D74" s="2">
        <v>8008000</v>
      </c>
      <c r="E74" s="2">
        <v>10070000</v>
      </c>
      <c r="F74" s="2">
        <v>5405000</v>
      </c>
      <c r="G74" s="2">
        <v>5054000</v>
      </c>
      <c r="H74" s="2">
        <f>SUM(C74:G74)</f>
        <v>35017000</v>
      </c>
      <c r="I74" s="6">
        <f>G74/C74</f>
        <v>0.77993827160493823</v>
      </c>
      <c r="J74" t="b">
        <f t="shared" si="22"/>
        <v>1</v>
      </c>
      <c r="K74" s="2">
        <f t="shared" si="23"/>
        <v>7107912</v>
      </c>
      <c r="L74" t="b">
        <f t="shared" si="24"/>
        <v>1</v>
      </c>
      <c r="N74" s="6"/>
      <c r="O74" s="6"/>
      <c r="P74" s="6"/>
      <c r="Q74" s="6"/>
      <c r="R74" s="6"/>
      <c r="S74" s="8"/>
      <c r="T74" s="9">
        <f t="shared" si="25"/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f t="shared" si="12"/>
        <v>0</v>
      </c>
      <c r="AG74" s="7">
        <f t="shared" si="13"/>
        <v>0</v>
      </c>
    </row>
    <row r="75" spans="1:33" x14ac:dyDescent="0.3">
      <c r="A75" t="s">
        <v>104</v>
      </c>
      <c r="B75" s="1"/>
      <c r="C75" s="28"/>
      <c r="D75" s="28"/>
      <c r="E75" s="28"/>
      <c r="F75" s="28"/>
      <c r="G75" s="28"/>
      <c r="H75" s="2"/>
      <c r="I75" s="6"/>
      <c r="J75" t="b">
        <f t="shared" si="22"/>
        <v>0</v>
      </c>
      <c r="K75" s="2">
        <f t="shared" si="23"/>
        <v>0</v>
      </c>
      <c r="L75" t="b">
        <f t="shared" si="24"/>
        <v>0</v>
      </c>
      <c r="N75" s="6"/>
      <c r="O75" s="6"/>
      <c r="P75" s="6"/>
      <c r="Q75" s="6"/>
      <c r="R75" s="6"/>
      <c r="S75" s="8"/>
      <c r="T75" s="9">
        <f t="shared" si="25"/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f t="shared" si="12"/>
        <v>0</v>
      </c>
      <c r="AG75" s="7">
        <f t="shared" si="13"/>
        <v>0</v>
      </c>
    </row>
    <row r="76" spans="1:33" x14ac:dyDescent="0.3">
      <c r="A76" t="s">
        <v>105</v>
      </c>
      <c r="B76" s="1" t="s">
        <v>12</v>
      </c>
      <c r="C76" s="2">
        <v>1660821</v>
      </c>
      <c r="D76" s="2">
        <v>1389332</v>
      </c>
      <c r="E76" s="2">
        <v>1362054</v>
      </c>
      <c r="F76" s="2">
        <v>1044366</v>
      </c>
      <c r="G76" s="2">
        <v>1903293</v>
      </c>
      <c r="H76" s="2">
        <f t="shared" ref="H76:H83" si="26">SUM(C76:G76)</f>
        <v>7359866</v>
      </c>
      <c r="I76" s="6">
        <f t="shared" ref="I76:I83" si="27">G76/C76</f>
        <v>1.1459952637882107</v>
      </c>
      <c r="J76" t="b">
        <f t="shared" si="22"/>
        <v>0</v>
      </c>
      <c r="K76" s="2">
        <f t="shared" si="23"/>
        <v>1821754.5548999999</v>
      </c>
      <c r="L76" t="b">
        <f t="shared" si="24"/>
        <v>0</v>
      </c>
      <c r="M76" s="7" t="s">
        <v>12</v>
      </c>
      <c r="N76" s="6">
        <v>1</v>
      </c>
      <c r="O76" s="6">
        <v>1</v>
      </c>
      <c r="P76" s="6">
        <v>1</v>
      </c>
      <c r="Q76" s="6">
        <v>1</v>
      </c>
      <c r="R76" s="6">
        <v>1</v>
      </c>
      <c r="S76" s="8" cm="1">
        <f t="array" ref="S76">SUM(N76:R76/5)</f>
        <v>1</v>
      </c>
      <c r="T76" s="9">
        <f t="shared" si="25"/>
        <v>1</v>
      </c>
      <c r="U76" t="str">
        <f>IF(IFERROR(T76, 0) &gt; 0, IF(T76&lt;75%,"&lt;75%",IF(T76&lt;90%,"75-90%",IF(T76&lt;100%,"90-99%","100%"))), "")</f>
        <v>100%</v>
      </c>
      <c r="V76" s="7">
        <v>0</v>
      </c>
      <c r="W76" s="7">
        <v>0</v>
      </c>
      <c r="X76" s="7">
        <v>0</v>
      </c>
      <c r="Y76" s="7">
        <v>0</v>
      </c>
      <c r="Z76" s="29">
        <v>0</v>
      </c>
      <c r="AG76" s="7">
        <f t="shared" si="13"/>
        <v>0</v>
      </c>
    </row>
    <row r="77" spans="1:33" x14ac:dyDescent="0.3">
      <c r="A77" t="s">
        <v>106</v>
      </c>
      <c r="B77" s="1" t="s">
        <v>12</v>
      </c>
      <c r="C77" s="2">
        <v>21225000</v>
      </c>
      <c r="D77" s="2">
        <v>23366000</v>
      </c>
      <c r="E77" s="2">
        <v>27307000</v>
      </c>
      <c r="F77" s="2">
        <v>30743000</v>
      </c>
      <c r="G77" s="2">
        <v>28634000</v>
      </c>
      <c r="H77" s="2">
        <f t="shared" si="26"/>
        <v>131275000</v>
      </c>
      <c r="I77" s="6">
        <f t="shared" si="27"/>
        <v>1.3490694935217904</v>
      </c>
      <c r="J77" t="b">
        <f t="shared" si="22"/>
        <v>0</v>
      </c>
      <c r="K77" s="2">
        <f t="shared" si="23"/>
        <v>23281702.5</v>
      </c>
      <c r="L77" t="b">
        <f t="shared" si="24"/>
        <v>0</v>
      </c>
      <c r="N77" s="6"/>
      <c r="O77" s="6"/>
      <c r="P77" s="6"/>
      <c r="Q77" s="6"/>
      <c r="R77" s="6"/>
      <c r="S77" s="8"/>
      <c r="T77" s="9">
        <f t="shared" si="25"/>
        <v>0</v>
      </c>
      <c r="V77" s="7"/>
      <c r="W77" s="7"/>
      <c r="X77" s="7"/>
      <c r="Y77" s="7"/>
      <c r="Z77" s="7"/>
      <c r="AG77" s="7">
        <f t="shared" si="13"/>
        <v>0</v>
      </c>
    </row>
    <row r="78" spans="1:33" x14ac:dyDescent="0.3">
      <c r="A78" t="s">
        <v>107</v>
      </c>
      <c r="B78" s="1" t="s">
        <v>12</v>
      </c>
      <c r="C78" s="53">
        <v>27901000</v>
      </c>
      <c r="D78" s="53">
        <v>28413000</v>
      </c>
      <c r="E78" s="53">
        <v>33012000</v>
      </c>
      <c r="F78" s="53">
        <v>28357000</v>
      </c>
      <c r="G78" s="53">
        <v>26743000</v>
      </c>
      <c r="H78" s="2">
        <f t="shared" si="26"/>
        <v>144426000</v>
      </c>
      <c r="I78" s="6">
        <f t="shared" si="27"/>
        <v>0.95849611125049283</v>
      </c>
      <c r="J78" t="b">
        <f t="shared" si="22"/>
        <v>1</v>
      </c>
      <c r="K78" s="2">
        <f t="shared" si="23"/>
        <v>30604606.899999999</v>
      </c>
      <c r="L78" t="b">
        <f t="shared" si="24"/>
        <v>1</v>
      </c>
      <c r="N78" s="6"/>
      <c r="O78" s="6"/>
      <c r="P78" s="6"/>
      <c r="Q78" s="6"/>
      <c r="R78" s="6"/>
      <c r="S78" s="8"/>
      <c r="T78" s="9">
        <f t="shared" si="25"/>
        <v>0</v>
      </c>
      <c r="V78" s="7">
        <v>0</v>
      </c>
      <c r="W78" s="7">
        <v>0</v>
      </c>
      <c r="X78" s="7">
        <v>0</v>
      </c>
      <c r="Y78" s="7">
        <v>0</v>
      </c>
      <c r="Z78" s="29">
        <v>0</v>
      </c>
      <c r="AA78" s="7">
        <f t="shared" ref="AA78:AA84" si="28">SUM(V78+W78+X78+Y78+Z78)</f>
        <v>0</v>
      </c>
      <c r="AG78" s="7">
        <f t="shared" si="13"/>
        <v>0</v>
      </c>
    </row>
    <row r="79" spans="1:33" x14ac:dyDescent="0.3">
      <c r="A79" t="s">
        <v>108</v>
      </c>
      <c r="B79" s="1" t="s">
        <v>12</v>
      </c>
      <c r="C79" s="2">
        <v>3395000</v>
      </c>
      <c r="D79" s="2">
        <v>4231000</v>
      </c>
      <c r="E79" s="2">
        <v>4873000</v>
      </c>
      <c r="F79" s="2">
        <v>3041000</v>
      </c>
      <c r="G79" s="2">
        <v>6433000</v>
      </c>
      <c r="H79" s="2">
        <f t="shared" si="26"/>
        <v>21973000</v>
      </c>
      <c r="I79" s="6">
        <f t="shared" si="27"/>
        <v>1.8948453608247422</v>
      </c>
      <c r="J79" t="b">
        <f t="shared" si="22"/>
        <v>0</v>
      </c>
      <c r="K79" s="2">
        <f t="shared" si="23"/>
        <v>3723975.5</v>
      </c>
      <c r="L79" t="b">
        <f t="shared" si="24"/>
        <v>0</v>
      </c>
      <c r="M79" s="7" t="s">
        <v>12</v>
      </c>
      <c r="Q79" s="6">
        <f>AE79/Y79</f>
        <v>0.99942528735632186</v>
      </c>
      <c r="R79" s="6">
        <f>AF79/Z79</f>
        <v>0.87010309278350517</v>
      </c>
      <c r="S79" s="8" cm="1">
        <f t="array" ref="S79">SUM(N79:R79/2)</f>
        <v>0.93476419006991351</v>
      </c>
      <c r="T79" s="9">
        <f t="shared" si="25"/>
        <v>0.93476419006991351</v>
      </c>
      <c r="U79" t="str">
        <f>IF(IFERROR(T79, 0) &gt; 0, IF(T79&lt;75%,"&lt;75%",IF(T79&lt;90%,"75-90%",IF(T79&lt;100%,"90-99%","100%"))), "")</f>
        <v>90-99%</v>
      </c>
      <c r="V79" s="7">
        <v>4756</v>
      </c>
      <c r="W79" s="7">
        <v>4166</v>
      </c>
      <c r="X79" s="7">
        <v>4750</v>
      </c>
      <c r="Y79" s="7">
        <v>3480</v>
      </c>
      <c r="Z79" s="7">
        <v>1940</v>
      </c>
      <c r="AA79" s="7">
        <f t="shared" si="28"/>
        <v>19092</v>
      </c>
      <c r="AE79">
        <v>3478</v>
      </c>
      <c r="AF79">
        <v>1688</v>
      </c>
      <c r="AG79" s="7">
        <f t="shared" si="13"/>
        <v>5166</v>
      </c>
    </row>
    <row r="80" spans="1:33" x14ac:dyDescent="0.3">
      <c r="A80" t="s">
        <v>109</v>
      </c>
      <c r="B80" s="5" t="s">
        <v>12</v>
      </c>
      <c r="C80" s="2">
        <v>10399000</v>
      </c>
      <c r="D80" s="2">
        <v>10230000</v>
      </c>
      <c r="E80" s="2">
        <v>15712000</v>
      </c>
      <c r="F80" s="2">
        <v>14843000</v>
      </c>
      <c r="G80" s="2">
        <v>23450000</v>
      </c>
      <c r="H80" s="2">
        <f t="shared" si="26"/>
        <v>74634000</v>
      </c>
      <c r="I80" s="6">
        <f t="shared" si="27"/>
        <v>2.2550245215886142</v>
      </c>
      <c r="J80" t="b">
        <f t="shared" si="22"/>
        <v>0</v>
      </c>
      <c r="K80" s="2">
        <f t="shared" si="23"/>
        <v>11406663.1</v>
      </c>
      <c r="L80" t="b">
        <f t="shared" si="24"/>
        <v>0</v>
      </c>
      <c r="M80" s="7" t="s">
        <v>12</v>
      </c>
      <c r="N80" s="6">
        <f>AB80/V80</f>
        <v>0.61303813038130384</v>
      </c>
      <c r="O80" s="6">
        <f>AC80/W80</f>
        <v>0.56722090261282665</v>
      </c>
      <c r="P80" s="6">
        <f>AD80/X80</f>
        <v>0.65650663297536327</v>
      </c>
      <c r="Q80" s="6">
        <f>AE80/Y80</f>
        <v>0.86326432354357241</v>
      </c>
      <c r="R80" s="6">
        <f>AF80/Z80</f>
        <v>0.81826547043938347</v>
      </c>
      <c r="S80" s="8" cm="1">
        <f t="array" ref="S80">SUM(N80:R80/5)</f>
        <v>0.70365909199048993</v>
      </c>
      <c r="T80" s="9">
        <f t="shared" si="25"/>
        <v>0.70365909199048993</v>
      </c>
      <c r="U80" t="str">
        <f>IF(IFERROR(T80, 0) &gt; 0, IF(T80&lt;75%,"&lt;75%",IF(T80&lt;90%,"75-90%",IF(T80&lt;100%,"90-99%","100%"))), "")</f>
        <v>&lt;75%</v>
      </c>
      <c r="V80" s="7">
        <v>4065</v>
      </c>
      <c r="W80" s="7">
        <v>4210</v>
      </c>
      <c r="X80" s="7">
        <v>6332</v>
      </c>
      <c r="Y80" s="7">
        <v>4154</v>
      </c>
      <c r="Z80" s="7">
        <v>4347</v>
      </c>
      <c r="AA80" s="7">
        <f t="shared" si="28"/>
        <v>23108</v>
      </c>
      <c r="AB80">
        <v>2492</v>
      </c>
      <c r="AC80">
        <v>2388</v>
      </c>
      <c r="AD80">
        <v>4157</v>
      </c>
      <c r="AE80">
        <v>3586</v>
      </c>
      <c r="AF80">
        <v>3557</v>
      </c>
      <c r="AG80" s="7">
        <f t="shared" si="13"/>
        <v>16180</v>
      </c>
    </row>
    <row r="81" spans="1:33" x14ac:dyDescent="0.3">
      <c r="A81" t="s">
        <v>110</v>
      </c>
      <c r="B81" s="1" t="s">
        <v>12</v>
      </c>
      <c r="C81" s="28">
        <v>1958000</v>
      </c>
      <c r="D81" s="28">
        <v>1958000</v>
      </c>
      <c r="E81" s="28">
        <v>1958000</v>
      </c>
      <c r="F81" s="28">
        <v>1898000</v>
      </c>
      <c r="G81" s="28">
        <v>1898000</v>
      </c>
      <c r="H81" s="2">
        <f t="shared" si="26"/>
        <v>9670000</v>
      </c>
      <c r="I81" s="6">
        <f t="shared" si="27"/>
        <v>0.96935648621041881</v>
      </c>
      <c r="J81" t="b">
        <f t="shared" si="22"/>
        <v>1</v>
      </c>
      <c r="K81" s="2">
        <f t="shared" si="23"/>
        <v>2147730.2000000002</v>
      </c>
      <c r="L81" t="b">
        <f t="shared" si="24"/>
        <v>1</v>
      </c>
      <c r="M81" s="7" t="s">
        <v>12</v>
      </c>
      <c r="N81" s="6">
        <v>0.91</v>
      </c>
      <c r="O81" s="6">
        <v>0.88</v>
      </c>
      <c r="P81" s="6">
        <v>0.91</v>
      </c>
      <c r="Q81" s="6">
        <v>0.94</v>
      </c>
      <c r="S81" s="8" cm="1">
        <f t="array" ref="S81">SUM(N81:R81/4)</f>
        <v>0.91</v>
      </c>
      <c r="T81" s="9">
        <f t="shared" si="25"/>
        <v>0.91</v>
      </c>
      <c r="U81" t="str">
        <f>IF(IFERROR(T81, 0) &gt; 0, IF(T81&lt;75%,"&lt;75%",IF(T81&lt;90%,"75-90%",IF(T81&lt;100%,"90-99%","100%"))), "")</f>
        <v>90-99%</v>
      </c>
      <c r="V81" s="7">
        <v>5358</v>
      </c>
      <c r="W81" s="7">
        <v>4067</v>
      </c>
      <c r="X81" s="7">
        <v>3870</v>
      </c>
      <c r="Y81" s="7">
        <v>4047</v>
      </c>
      <c r="Z81" s="7">
        <v>2728</v>
      </c>
      <c r="AA81" s="7">
        <f t="shared" si="28"/>
        <v>20070</v>
      </c>
      <c r="AG81" s="7"/>
    </row>
    <row r="82" spans="1:33" x14ac:dyDescent="0.3">
      <c r="A82" t="s">
        <v>115</v>
      </c>
      <c r="B82" s="1" t="s">
        <v>12</v>
      </c>
      <c r="C82" s="2">
        <v>25900000</v>
      </c>
      <c r="D82" s="2">
        <v>23200000</v>
      </c>
      <c r="E82" s="2">
        <v>17400000</v>
      </c>
      <c r="F82" s="2">
        <v>9100000</v>
      </c>
      <c r="G82" s="2">
        <v>30600000</v>
      </c>
      <c r="H82" s="2">
        <f t="shared" si="26"/>
        <v>106200000</v>
      </c>
      <c r="I82" s="6">
        <f t="shared" si="27"/>
        <v>1.1814671814671815</v>
      </c>
      <c r="J82" t="b">
        <f t="shared" si="22"/>
        <v>0</v>
      </c>
      <c r="K82" s="2">
        <f t="shared" si="23"/>
        <v>28409710</v>
      </c>
      <c r="L82" t="b">
        <f t="shared" si="24"/>
        <v>0</v>
      </c>
      <c r="N82" s="6"/>
      <c r="O82" s="6"/>
      <c r="P82" s="6"/>
      <c r="Q82" s="6"/>
      <c r="R82" s="6"/>
      <c r="S82" s="8"/>
      <c r="T82" s="9">
        <f t="shared" si="25"/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f t="shared" si="28"/>
        <v>0</v>
      </c>
      <c r="AG82" s="7">
        <f>SUM(AB82:AF82)</f>
        <v>0</v>
      </c>
    </row>
    <row r="83" spans="1:33" x14ac:dyDescent="0.3">
      <c r="A83" t="s">
        <v>116</v>
      </c>
      <c r="B83" s="1" t="s">
        <v>12</v>
      </c>
      <c r="C83" s="2">
        <f>135000+1041000</f>
        <v>1176000</v>
      </c>
      <c r="D83" s="2">
        <f>341643+890500</f>
        <v>1232143</v>
      </c>
      <c r="E83" s="2">
        <f>406045+91030700</f>
        <v>91436745</v>
      </c>
      <c r="F83" s="2">
        <f>196049+884700</f>
        <v>1080749</v>
      </c>
      <c r="G83" s="2">
        <f>1718000+884700</f>
        <v>2602700</v>
      </c>
      <c r="H83" s="2">
        <f t="shared" si="26"/>
        <v>97528337</v>
      </c>
      <c r="I83" s="6">
        <f t="shared" si="27"/>
        <v>2.2131802721088434</v>
      </c>
      <c r="J83" t="b">
        <f t="shared" si="22"/>
        <v>0</v>
      </c>
      <c r="K83" s="2">
        <f t="shared" si="23"/>
        <v>1289954.3999999999</v>
      </c>
      <c r="L83" t="b">
        <f t="shared" si="24"/>
        <v>0</v>
      </c>
      <c r="M83" s="7" t="s">
        <v>12</v>
      </c>
      <c r="N83" s="6">
        <f>(0.985+1+0.998+1+0.9985)/5</f>
        <v>0.99629999999999996</v>
      </c>
      <c r="O83" s="6">
        <f>(0.984+0.9927+0.998+1+0.9967)/5</f>
        <v>0.99428000000000005</v>
      </c>
      <c r="P83" s="6">
        <f>(0.9643+0.9995+1+1+0.9819)/5</f>
        <v>0.98914000000000013</v>
      </c>
      <c r="Q83" s="6">
        <f>(0.9886+4)/5</f>
        <v>0.99771999999999994</v>
      </c>
      <c r="R83" s="6">
        <f>(0.9785+4)/5</f>
        <v>0.99570000000000003</v>
      </c>
      <c r="S83" s="8" cm="1">
        <f t="array" ref="S83">SUM(N83:R83/5)</f>
        <v>0.99462799999999996</v>
      </c>
      <c r="T83" s="9">
        <f t="shared" si="25"/>
        <v>0.99462799999999996</v>
      </c>
      <c r="U83" t="str">
        <f>IF(IFERROR(T83, 0) &gt; 0, IF(T83&lt;75%,"&lt;75%",IF(T83&lt;90%,"75-90%",IF(T83&lt;100%,"90-99%","100%"))), "")</f>
        <v>90-99%</v>
      </c>
      <c r="V83" s="7">
        <v>1411</v>
      </c>
      <c r="W83" s="7">
        <v>1526</v>
      </c>
      <c r="X83" s="7">
        <v>1767</v>
      </c>
      <c r="Y83" s="7">
        <v>1663</v>
      </c>
      <c r="Z83" s="7">
        <v>979</v>
      </c>
      <c r="AA83" s="7">
        <f t="shared" si="28"/>
        <v>7346</v>
      </c>
      <c r="AG83" s="7">
        <f>SUM(AB83:AF83)</f>
        <v>0</v>
      </c>
    </row>
    <row r="84" spans="1:33" x14ac:dyDescent="0.3">
      <c r="A84" s="29" t="s">
        <v>117</v>
      </c>
      <c r="B84" s="27"/>
      <c r="C84" s="28"/>
      <c r="D84" s="28"/>
      <c r="E84" s="28"/>
      <c r="F84" s="28"/>
      <c r="G84" s="28"/>
      <c r="H84" s="28"/>
      <c r="I84" s="10"/>
      <c r="J84" s="29" t="b">
        <f t="shared" si="22"/>
        <v>0</v>
      </c>
      <c r="K84" s="28">
        <f t="shared" si="23"/>
        <v>0</v>
      </c>
      <c r="L84" s="29" t="b">
        <f t="shared" si="24"/>
        <v>0</v>
      </c>
      <c r="N84" s="10"/>
      <c r="O84" s="10"/>
      <c r="P84" s="10"/>
      <c r="Q84" s="10"/>
      <c r="R84" s="10"/>
      <c r="S84" s="10"/>
      <c r="T84" s="35">
        <f t="shared" si="25"/>
        <v>0</v>
      </c>
      <c r="U84" s="29"/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f t="shared" si="28"/>
        <v>0</v>
      </c>
      <c r="AB84" s="29"/>
      <c r="AC84" s="29"/>
      <c r="AD84" s="29"/>
      <c r="AE84" s="29"/>
      <c r="AF84" s="29"/>
      <c r="AG84" s="7">
        <f>SUM(AB84:AF84)</f>
        <v>0</v>
      </c>
    </row>
    <row r="85" spans="1:33" x14ac:dyDescent="0.3">
      <c r="A85" t="s">
        <v>118</v>
      </c>
      <c r="B85" s="1" t="s">
        <v>12</v>
      </c>
      <c r="C85" s="2">
        <v>3703229</v>
      </c>
      <c r="D85" s="2">
        <v>3560770</v>
      </c>
      <c r="E85" s="2">
        <v>3420290</v>
      </c>
      <c r="F85" s="2">
        <v>3652427</v>
      </c>
      <c r="G85" s="2">
        <v>3080000</v>
      </c>
      <c r="H85" s="2">
        <f>SUM(C85:G85)</f>
        <v>17416716</v>
      </c>
      <c r="I85" s="6">
        <f>G85/C85</f>
        <v>0.83170659983490081</v>
      </c>
      <c r="J85" t="b">
        <f t="shared" si="22"/>
        <v>1</v>
      </c>
      <c r="K85" s="2">
        <f t="shared" si="23"/>
        <v>4062071.8901</v>
      </c>
      <c r="L85" t="b">
        <f t="shared" si="24"/>
        <v>1</v>
      </c>
      <c r="S85" s="7"/>
      <c r="T85" s="9">
        <f t="shared" si="25"/>
        <v>0</v>
      </c>
      <c r="V85" s="7"/>
      <c r="W85" s="7"/>
      <c r="X85" s="7"/>
      <c r="Y85" s="7"/>
      <c r="Z85" s="7"/>
      <c r="AG85" s="7"/>
    </row>
    <row r="86" spans="1:33" x14ac:dyDescent="0.3">
      <c r="A86" t="s">
        <v>119</v>
      </c>
      <c r="B86" s="1" t="s">
        <v>12</v>
      </c>
      <c r="C86" s="2">
        <v>107149</v>
      </c>
      <c r="D86" s="2">
        <v>83221</v>
      </c>
      <c r="E86" s="2">
        <v>104564</v>
      </c>
      <c r="F86" s="2">
        <v>52005</v>
      </c>
      <c r="G86" s="2">
        <v>850000</v>
      </c>
      <c r="H86" s="2">
        <f>SUM(C86:G86)</f>
        <v>1196939</v>
      </c>
      <c r="I86" s="6">
        <f>G86/C86</f>
        <v>7.9328785149651422</v>
      </c>
      <c r="J86" t="b">
        <f t="shared" si="22"/>
        <v>0</v>
      </c>
      <c r="K86" s="2">
        <f t="shared" si="23"/>
        <v>117531.7381</v>
      </c>
      <c r="L86" t="b">
        <f t="shared" si="24"/>
        <v>0</v>
      </c>
      <c r="N86" s="6"/>
      <c r="O86" s="6"/>
      <c r="P86" s="6"/>
      <c r="Q86" s="6"/>
      <c r="R86" s="6"/>
      <c r="S86" s="8"/>
      <c r="T86" s="9">
        <f t="shared" si="25"/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f t="shared" ref="AA86:AA95" si="29">SUM(V86+W86+X86+Y86+Z86)</f>
        <v>0</v>
      </c>
      <c r="AG86" s="7">
        <f t="shared" ref="AG86:AG111" si="30">SUM(AB86:AF86)</f>
        <v>0</v>
      </c>
    </row>
    <row r="87" spans="1:33" x14ac:dyDescent="0.3">
      <c r="A87" t="s">
        <v>120</v>
      </c>
      <c r="B87" s="1" t="s">
        <v>12</v>
      </c>
      <c r="C87" s="2">
        <v>1277466</v>
      </c>
      <c r="D87" s="2">
        <v>1177466</v>
      </c>
      <c r="E87" s="2">
        <v>1177466</v>
      </c>
      <c r="F87" s="2">
        <v>1177466</v>
      </c>
      <c r="G87" s="2">
        <v>1147466</v>
      </c>
      <c r="H87" s="2">
        <f>SUM(C87:G87)</f>
        <v>5957330</v>
      </c>
      <c r="I87" s="6">
        <f>G87/C87</f>
        <v>0.89823603915877215</v>
      </c>
      <c r="J87" t="b">
        <f t="shared" si="22"/>
        <v>1</v>
      </c>
      <c r="K87" s="2">
        <f t="shared" si="23"/>
        <v>1401252.4554000001</v>
      </c>
      <c r="L87" t="b">
        <f t="shared" si="24"/>
        <v>1</v>
      </c>
      <c r="N87" s="6"/>
      <c r="O87" s="6"/>
      <c r="P87" s="6"/>
      <c r="Q87" s="6"/>
      <c r="R87" s="6"/>
      <c r="S87" s="8"/>
      <c r="T87" s="9">
        <f t="shared" si="25"/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f t="shared" si="29"/>
        <v>0</v>
      </c>
      <c r="AG87" s="7">
        <f t="shared" si="30"/>
        <v>0</v>
      </c>
    </row>
    <row r="88" spans="1:33" x14ac:dyDescent="0.3">
      <c r="A88" t="s">
        <v>123</v>
      </c>
      <c r="B88" s="1"/>
      <c r="I88" s="6"/>
      <c r="J88" t="b">
        <f t="shared" si="22"/>
        <v>0</v>
      </c>
      <c r="K88" s="2">
        <f t="shared" si="23"/>
        <v>0</v>
      </c>
      <c r="L88" t="b">
        <f t="shared" si="24"/>
        <v>0</v>
      </c>
      <c r="M88" s="7" t="s">
        <v>12</v>
      </c>
      <c r="N88" s="6">
        <f>AB88/V88</f>
        <v>0.93375394321766558</v>
      </c>
      <c r="O88" s="6">
        <f>AC88/W88</f>
        <v>0.97176707839677334</v>
      </c>
      <c r="P88" s="6">
        <f>AD88/X88</f>
        <v>0.8835420786640299</v>
      </c>
      <c r="Q88" s="6">
        <f>AE88/Y88</f>
        <v>0.85414866032843562</v>
      </c>
      <c r="R88" s="6">
        <f>AF88/Z88</f>
        <v>0.61192776144477112</v>
      </c>
      <c r="S88" s="8" cm="1">
        <f t="array" ref="S88">SUM(N88:R88/5)</f>
        <v>0.85102790441033516</v>
      </c>
      <c r="T88" s="9">
        <f t="shared" si="25"/>
        <v>0.85102790441033516</v>
      </c>
      <c r="U88" t="str">
        <f>IF(IFERROR(T88, 0) &gt; 0, IF(T88&lt;75%,"&lt;75%",IF(T88&lt;90%,"75-90%",IF(T88&lt;100%,"90-99%","100%"))), "")</f>
        <v>75-90%</v>
      </c>
      <c r="V88" s="7">
        <v>4438</v>
      </c>
      <c r="W88" s="7">
        <v>3967</v>
      </c>
      <c r="X88" s="7">
        <v>4551</v>
      </c>
      <c r="Y88" s="7">
        <v>4628</v>
      </c>
      <c r="Z88" s="7">
        <v>4762</v>
      </c>
      <c r="AA88" s="7">
        <f t="shared" si="29"/>
        <v>22346</v>
      </c>
      <c r="AB88">
        <v>4144</v>
      </c>
      <c r="AC88">
        <v>3855</v>
      </c>
      <c r="AD88">
        <v>4021</v>
      </c>
      <c r="AE88">
        <v>3953</v>
      </c>
      <c r="AF88">
        <v>2914</v>
      </c>
      <c r="AG88" s="7">
        <f t="shared" si="30"/>
        <v>18887</v>
      </c>
    </row>
    <row r="89" spans="1:33" x14ac:dyDescent="0.3">
      <c r="A89" t="s">
        <v>124</v>
      </c>
      <c r="B89" s="1" t="s">
        <v>12</v>
      </c>
      <c r="C89" s="2">
        <v>1034000</v>
      </c>
      <c r="D89" s="2">
        <v>1011000</v>
      </c>
      <c r="E89" s="2">
        <v>1040000</v>
      </c>
      <c r="F89" s="2">
        <v>1032000</v>
      </c>
      <c r="G89" s="2">
        <v>755000</v>
      </c>
      <c r="H89" s="2">
        <f>SUM(C89:G89)</f>
        <v>4872000</v>
      </c>
      <c r="I89" s="6">
        <f>G89/C89</f>
        <v>0.73017408123791105</v>
      </c>
      <c r="J89" t="b">
        <f t="shared" si="22"/>
        <v>1</v>
      </c>
      <c r="K89" s="2">
        <f t="shared" si="23"/>
        <v>1134194.6000000001</v>
      </c>
      <c r="L89" t="b">
        <f t="shared" si="24"/>
        <v>1</v>
      </c>
      <c r="M89" s="7" t="s">
        <v>12</v>
      </c>
      <c r="N89" s="6">
        <v>1</v>
      </c>
      <c r="O89" s="6">
        <v>1</v>
      </c>
      <c r="P89" s="6">
        <v>1</v>
      </c>
      <c r="Q89" s="6">
        <v>1</v>
      </c>
      <c r="R89" s="6">
        <v>1</v>
      </c>
      <c r="S89" s="8" cm="1">
        <f t="array" ref="S89">SUM(N89:R89/5)</f>
        <v>1</v>
      </c>
      <c r="T89" s="9">
        <f t="shared" si="25"/>
        <v>1</v>
      </c>
      <c r="U89" t="str">
        <f>IF(IFERROR(T89, 0) &gt; 0, IF(T89&lt;75%,"&lt;75%",IF(T89&lt;90%,"75-90%",IF(T89&lt;100%,"90-99%","100%"))), "")</f>
        <v>100%</v>
      </c>
      <c r="V89" s="7">
        <v>0</v>
      </c>
      <c r="W89" s="7">
        <v>0</v>
      </c>
      <c r="X89" s="7">
        <v>0</v>
      </c>
      <c r="Y89" s="7">
        <v>0</v>
      </c>
      <c r="Z89" s="29">
        <v>0</v>
      </c>
      <c r="AA89" s="7">
        <f t="shared" si="29"/>
        <v>0</v>
      </c>
      <c r="AG89" s="7">
        <f t="shared" si="30"/>
        <v>0</v>
      </c>
    </row>
    <row r="90" spans="1:33" x14ac:dyDescent="0.3">
      <c r="A90" t="s">
        <v>125</v>
      </c>
      <c r="B90" s="1"/>
      <c r="I90" s="6"/>
      <c r="J90" t="b">
        <f t="shared" si="22"/>
        <v>0</v>
      </c>
      <c r="K90" s="2">
        <f t="shared" si="23"/>
        <v>0</v>
      </c>
      <c r="L90" t="b">
        <f t="shared" si="24"/>
        <v>0</v>
      </c>
      <c r="M90" s="7" t="s">
        <v>12</v>
      </c>
      <c r="N90" s="6">
        <f>AB90/V90</f>
        <v>0.75732484076433126</v>
      </c>
      <c r="O90" s="6">
        <f>AC90/W90</f>
        <v>0.76280238768457431</v>
      </c>
      <c r="P90" s="6">
        <f>AD90/X90</f>
        <v>0.77382596685082872</v>
      </c>
      <c r="Q90" s="6">
        <f>AE90/Y90</f>
        <v>0.80657160570365782</v>
      </c>
      <c r="R90" s="6"/>
      <c r="S90" s="8" cm="1">
        <f t="array" ref="S90">SUM(N90:R90/4)</f>
        <v>0.77513120025084803</v>
      </c>
      <c r="T90" s="9">
        <f t="shared" si="25"/>
        <v>0.77513120025084803</v>
      </c>
      <c r="U90" t="str">
        <f>IF(IFERROR(T90, 0) &gt; 0, IF(T90&lt;75%,"&lt;75%",IF(T90&lt;90%,"75-90%",IF(T90&lt;100%,"90-99%","100%"))), "")</f>
        <v>75-90%</v>
      </c>
      <c r="V90" s="7">
        <v>3140</v>
      </c>
      <c r="W90" s="7">
        <v>3183</v>
      </c>
      <c r="X90" s="7">
        <v>2896</v>
      </c>
      <c r="Y90" s="7">
        <v>3226</v>
      </c>
      <c r="Z90" s="7">
        <v>0</v>
      </c>
      <c r="AA90" s="7">
        <f t="shared" si="29"/>
        <v>12445</v>
      </c>
      <c r="AB90">
        <v>2378</v>
      </c>
      <c r="AC90">
        <v>2428</v>
      </c>
      <c r="AD90">
        <v>2241</v>
      </c>
      <c r="AE90">
        <v>2602</v>
      </c>
      <c r="AF90" s="4"/>
      <c r="AG90" s="7">
        <f t="shared" si="30"/>
        <v>9649</v>
      </c>
    </row>
    <row r="91" spans="1:33" x14ac:dyDescent="0.3">
      <c r="A91" t="s">
        <v>126</v>
      </c>
      <c r="B91" s="1" t="s">
        <v>12</v>
      </c>
      <c r="C91" s="38">
        <v>5528340</v>
      </c>
      <c r="D91" s="38">
        <v>7242594</v>
      </c>
      <c r="E91" s="38">
        <v>5317003</v>
      </c>
      <c r="F91" s="38">
        <v>5530361</v>
      </c>
      <c r="G91" s="38">
        <v>5159857</v>
      </c>
      <c r="H91" s="2">
        <f>SUM(C91:G91)</f>
        <v>28778155</v>
      </c>
      <c r="I91" s="6">
        <f>G91/C91</f>
        <v>0.93334653802045464</v>
      </c>
      <c r="J91" t="b">
        <f t="shared" si="22"/>
        <v>1</v>
      </c>
      <c r="K91" s="2">
        <f t="shared" si="23"/>
        <v>6064036.1459999997</v>
      </c>
      <c r="L91" t="b">
        <f t="shared" si="24"/>
        <v>1</v>
      </c>
      <c r="N91" s="6"/>
      <c r="O91" s="6"/>
      <c r="P91" s="6"/>
      <c r="Q91" s="6"/>
      <c r="R91" s="6"/>
      <c r="S91" s="8"/>
      <c r="T91" s="9">
        <f t="shared" si="25"/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f t="shared" si="29"/>
        <v>0</v>
      </c>
      <c r="AG91" s="7">
        <f t="shared" si="30"/>
        <v>0</v>
      </c>
    </row>
    <row r="92" spans="1:33" x14ac:dyDescent="0.3">
      <c r="A92" t="s">
        <v>127</v>
      </c>
      <c r="B92" s="1" t="s">
        <v>12</v>
      </c>
      <c r="C92" s="2">
        <v>2227100</v>
      </c>
      <c r="D92" s="2">
        <v>2122200</v>
      </c>
      <c r="E92" s="2">
        <v>2017300</v>
      </c>
      <c r="F92" s="2">
        <v>2521200</v>
      </c>
      <c r="G92" s="2">
        <v>2929800</v>
      </c>
      <c r="H92" s="2">
        <f>SUM(C92:G92)</f>
        <v>11817600</v>
      </c>
      <c r="I92" s="6">
        <f>G92/C92</f>
        <v>1.3155224282699474</v>
      </c>
      <c r="J92" t="b">
        <f t="shared" si="22"/>
        <v>0</v>
      </c>
      <c r="K92" s="2">
        <f t="shared" si="23"/>
        <v>2442905.9899999998</v>
      </c>
      <c r="L92" t="b">
        <f t="shared" si="24"/>
        <v>0</v>
      </c>
      <c r="M92" s="7" t="s">
        <v>12</v>
      </c>
      <c r="N92" s="6">
        <f>AB92/V92</f>
        <v>0.75902934537246047</v>
      </c>
      <c r="O92" s="6">
        <f>AC92/W92</f>
        <v>0.78482328482328478</v>
      </c>
      <c r="P92" s="6">
        <f>AD92/X92</f>
        <v>1.096638655462185</v>
      </c>
      <c r="Q92" s="6">
        <f>AE92/Y92</f>
        <v>0.53859060402684567</v>
      </c>
      <c r="R92" s="6">
        <f>AF92/Z92</f>
        <v>0.81690140845070425</v>
      </c>
      <c r="S92" s="8" cm="1">
        <f t="array" ref="S92">SUM(N92:R92/5)</f>
        <v>0.79919665962709596</v>
      </c>
      <c r="T92" s="9">
        <f t="shared" si="25"/>
        <v>0.79919665962709596</v>
      </c>
      <c r="U92" t="str">
        <f t="shared" ref="U92:U98" si="31">IF(IFERROR(T92, 0) &gt; 0, IF(T92&lt;75%,"&lt;75%",IF(T92&lt;90%,"75-90%",IF(T92&lt;100%,"90-99%","100%"))), "")</f>
        <v>75-90%</v>
      </c>
      <c r="V92" s="7">
        <v>1772</v>
      </c>
      <c r="W92" s="7">
        <v>1924</v>
      </c>
      <c r="X92" s="7">
        <v>1190</v>
      </c>
      <c r="Y92" s="7">
        <v>1192</v>
      </c>
      <c r="Z92" s="7">
        <v>639</v>
      </c>
      <c r="AA92" s="7">
        <f t="shared" si="29"/>
        <v>6717</v>
      </c>
      <c r="AB92">
        <v>1345</v>
      </c>
      <c r="AC92">
        <v>1510</v>
      </c>
      <c r="AD92">
        <v>1305</v>
      </c>
      <c r="AE92">
        <v>642</v>
      </c>
      <c r="AF92">
        <v>522</v>
      </c>
      <c r="AG92" s="7">
        <f t="shared" si="30"/>
        <v>5324</v>
      </c>
    </row>
    <row r="93" spans="1:33" x14ac:dyDescent="0.3">
      <c r="A93" t="s">
        <v>128</v>
      </c>
      <c r="B93" s="1"/>
      <c r="C93" s="29"/>
      <c r="D93" s="29"/>
      <c r="E93" s="29"/>
      <c r="F93" s="29"/>
      <c r="G93" s="29"/>
      <c r="H93" s="2"/>
      <c r="I93" s="6"/>
      <c r="J93" t="b">
        <f t="shared" si="22"/>
        <v>0</v>
      </c>
      <c r="K93" s="2">
        <f t="shared" si="23"/>
        <v>0</v>
      </c>
      <c r="L93" t="b">
        <f t="shared" si="24"/>
        <v>0</v>
      </c>
      <c r="M93" s="7" t="s">
        <v>12</v>
      </c>
      <c r="N93" s="6">
        <v>0.5625</v>
      </c>
      <c r="O93" s="6">
        <v>0.56499999999999995</v>
      </c>
      <c r="P93" s="6">
        <v>0.75249999999999995</v>
      </c>
      <c r="Q93" s="6">
        <v>0.83250000000000002</v>
      </c>
      <c r="R93" s="6">
        <v>0.80500000000000005</v>
      </c>
      <c r="S93" s="8" cm="1">
        <f t="array" ref="S93">SUM(N93:R93/5)</f>
        <v>0.70350000000000001</v>
      </c>
      <c r="T93" s="9">
        <f t="shared" si="25"/>
        <v>0.70350000000000001</v>
      </c>
      <c r="U93" t="str">
        <f t="shared" si="31"/>
        <v>&lt;75%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f t="shared" si="29"/>
        <v>0</v>
      </c>
      <c r="AG93" s="7">
        <f t="shared" si="30"/>
        <v>0</v>
      </c>
    </row>
    <row r="94" spans="1:33" x14ac:dyDescent="0.3">
      <c r="A94" t="s">
        <v>129</v>
      </c>
      <c r="B94" s="1" t="s">
        <v>12</v>
      </c>
      <c r="C94" s="34">
        <v>5319048</v>
      </c>
      <c r="D94" s="34">
        <v>7286966.8300000001</v>
      </c>
      <c r="E94" s="34">
        <v>10296864</v>
      </c>
      <c r="F94" s="34">
        <v>6768686</v>
      </c>
      <c r="G94" s="34">
        <v>8608602</v>
      </c>
      <c r="H94" s="2">
        <f>SUM(C94:G94)</f>
        <v>38280166.829999998</v>
      </c>
      <c r="I94" s="6">
        <f>G94/C94</f>
        <v>1.6184478876671164</v>
      </c>
      <c r="J94" t="b">
        <f t="shared" si="22"/>
        <v>0</v>
      </c>
      <c r="K94" s="2">
        <f t="shared" si="23"/>
        <v>5834463.7511999998</v>
      </c>
      <c r="L94" t="b">
        <f t="shared" si="24"/>
        <v>0</v>
      </c>
      <c r="M94" s="7" t="s">
        <v>12</v>
      </c>
      <c r="N94" s="6">
        <f t="shared" ref="N94:R97" si="32">AB94/V94</f>
        <v>0.45005574136008919</v>
      </c>
      <c r="O94" s="6">
        <f t="shared" si="32"/>
        <v>0.4842244573848597</v>
      </c>
      <c r="P94" s="6">
        <f t="shared" si="32"/>
        <v>0.46466039501551493</v>
      </c>
      <c r="Q94" s="6">
        <f t="shared" si="32"/>
        <v>0.62577974054650842</v>
      </c>
      <c r="R94" s="6">
        <f t="shared" si="32"/>
        <v>0.69047247777951037</v>
      </c>
      <c r="S94" s="8" cm="1">
        <f t="array" ref="S94">SUM(N94:R94/5)</f>
        <v>0.54303856241729653</v>
      </c>
      <c r="T94" s="9">
        <f t="shared" si="25"/>
        <v>0.54303856241729653</v>
      </c>
      <c r="U94" t="str">
        <f t="shared" si="31"/>
        <v>&lt;75%</v>
      </c>
      <c r="V94" s="7">
        <v>17940</v>
      </c>
      <c r="W94" s="7">
        <v>18890</v>
      </c>
      <c r="X94" s="7">
        <v>20303</v>
      </c>
      <c r="Y94" s="7">
        <v>18115</v>
      </c>
      <c r="Z94" s="7">
        <v>12826</v>
      </c>
      <c r="AA94" s="7">
        <f t="shared" si="29"/>
        <v>88074</v>
      </c>
      <c r="AB94">
        <v>8074</v>
      </c>
      <c r="AC94">
        <v>9147</v>
      </c>
      <c r="AD94">
        <v>9434</v>
      </c>
      <c r="AE94">
        <v>11336</v>
      </c>
      <c r="AF94">
        <v>8856</v>
      </c>
      <c r="AG94" s="7">
        <f t="shared" si="30"/>
        <v>46847</v>
      </c>
    </row>
    <row r="95" spans="1:33" x14ac:dyDescent="0.3">
      <c r="A95" t="s">
        <v>130</v>
      </c>
      <c r="B95" s="1"/>
      <c r="I95" s="6"/>
      <c r="J95" t="b">
        <f t="shared" si="22"/>
        <v>0</v>
      </c>
      <c r="K95" s="2">
        <f t="shared" si="23"/>
        <v>0</v>
      </c>
      <c r="L95" t="b">
        <f t="shared" si="24"/>
        <v>0</v>
      </c>
      <c r="M95" s="7" t="s">
        <v>12</v>
      </c>
      <c r="N95" s="6">
        <f t="shared" si="32"/>
        <v>0.77941176470588236</v>
      </c>
      <c r="O95" s="6">
        <f t="shared" si="32"/>
        <v>0.850828729281768</v>
      </c>
      <c r="P95" s="6">
        <f t="shared" si="32"/>
        <v>0.57180500658761524</v>
      </c>
      <c r="Q95" s="6">
        <f t="shared" si="32"/>
        <v>0.74961119751166405</v>
      </c>
      <c r="R95" s="6">
        <f t="shared" si="32"/>
        <v>0.67990654205607481</v>
      </c>
      <c r="S95" s="8" cm="1">
        <f t="array" ref="S95">SUM(N95:R95/5)</f>
        <v>0.72631264802860085</v>
      </c>
      <c r="T95" s="9">
        <f t="shared" si="25"/>
        <v>0.72631264802860085</v>
      </c>
      <c r="U95" t="str">
        <f t="shared" si="31"/>
        <v>&lt;75%</v>
      </c>
      <c r="V95" s="7">
        <v>272</v>
      </c>
      <c r="W95" s="7">
        <v>362</v>
      </c>
      <c r="X95" s="7">
        <v>759</v>
      </c>
      <c r="Y95" s="7">
        <v>643</v>
      </c>
      <c r="Z95" s="7">
        <v>428</v>
      </c>
      <c r="AA95" s="7">
        <f t="shared" si="29"/>
        <v>2464</v>
      </c>
      <c r="AB95">
        <v>212</v>
      </c>
      <c r="AC95">
        <v>308</v>
      </c>
      <c r="AD95">
        <v>434</v>
      </c>
      <c r="AE95">
        <v>482</v>
      </c>
      <c r="AF95">
        <v>291</v>
      </c>
      <c r="AG95" s="7">
        <f t="shared" si="30"/>
        <v>1727</v>
      </c>
    </row>
    <row r="96" spans="1:33" x14ac:dyDescent="0.3">
      <c r="A96" t="s">
        <v>131</v>
      </c>
      <c r="B96" s="1"/>
      <c r="I96" s="6"/>
      <c r="J96" t="b">
        <f t="shared" si="22"/>
        <v>0</v>
      </c>
      <c r="K96" s="2">
        <f t="shared" si="23"/>
        <v>0</v>
      </c>
      <c r="L96" t="b">
        <f t="shared" si="24"/>
        <v>0</v>
      </c>
      <c r="M96" s="7" t="s">
        <v>12</v>
      </c>
      <c r="N96" s="6">
        <f t="shared" si="32"/>
        <v>0.69945355191256831</v>
      </c>
      <c r="O96" s="6">
        <f t="shared" si="32"/>
        <v>0.55888030888030893</v>
      </c>
      <c r="P96" s="6">
        <f t="shared" si="32"/>
        <v>0.86092214663643241</v>
      </c>
      <c r="Q96" s="6">
        <f t="shared" si="32"/>
        <v>0.9490909090909091</v>
      </c>
      <c r="R96" s="6">
        <f t="shared" si="32"/>
        <v>0.9682151589242054</v>
      </c>
      <c r="S96" s="8" cm="1">
        <f t="array" ref="S96">SUM(N96:R96/5)</f>
        <v>0.80731241508888496</v>
      </c>
      <c r="T96" s="9">
        <f t="shared" si="25"/>
        <v>0.80731241508888496</v>
      </c>
      <c r="U96" t="str">
        <f t="shared" si="31"/>
        <v>75-90%</v>
      </c>
      <c r="V96" s="7">
        <v>1098</v>
      </c>
      <c r="W96" s="7">
        <v>1036</v>
      </c>
      <c r="X96" s="7">
        <v>1323</v>
      </c>
      <c r="Y96" s="7">
        <v>825</v>
      </c>
      <c r="Z96" s="7">
        <v>818</v>
      </c>
      <c r="AA96" s="7">
        <v>5098</v>
      </c>
      <c r="AB96">
        <v>768</v>
      </c>
      <c r="AC96">
        <v>579</v>
      </c>
      <c r="AD96">
        <v>1139</v>
      </c>
      <c r="AE96">
        <v>783</v>
      </c>
      <c r="AF96">
        <v>792</v>
      </c>
      <c r="AG96" s="7">
        <f t="shared" si="30"/>
        <v>4061</v>
      </c>
    </row>
    <row r="97" spans="1:33" x14ac:dyDescent="0.3">
      <c r="A97" t="s">
        <v>132</v>
      </c>
      <c r="B97" s="1" t="s">
        <v>12</v>
      </c>
      <c r="C97" s="2">
        <v>8590000</v>
      </c>
      <c r="D97" s="2">
        <v>9540000</v>
      </c>
      <c r="E97" s="2">
        <v>9320000</v>
      </c>
      <c r="F97" s="2">
        <v>8320000</v>
      </c>
      <c r="G97" s="2">
        <v>7590000</v>
      </c>
      <c r="H97" s="2">
        <f>SUM(C97:G97)</f>
        <v>43360000</v>
      </c>
      <c r="I97" s="6">
        <f>G97/C97</f>
        <v>0.88358556461001159</v>
      </c>
      <c r="J97" t="b">
        <f t="shared" si="22"/>
        <v>1</v>
      </c>
      <c r="K97" s="2">
        <f t="shared" si="23"/>
        <v>9422371</v>
      </c>
      <c r="L97" t="b">
        <f t="shared" si="24"/>
        <v>1</v>
      </c>
      <c r="M97" s="7" t="s">
        <v>12</v>
      </c>
      <c r="N97" s="6">
        <f t="shared" si="32"/>
        <v>0.76263571695994015</v>
      </c>
      <c r="O97" s="6">
        <f t="shared" si="32"/>
        <v>0.7940809413442681</v>
      </c>
      <c r="P97" s="6">
        <f t="shared" si="32"/>
        <v>0.86136930401269551</v>
      </c>
      <c r="Q97" s="6">
        <f t="shared" si="32"/>
        <v>0.91134441528142318</v>
      </c>
      <c r="R97" s="6">
        <f t="shared" si="32"/>
        <v>0.86019507663725037</v>
      </c>
      <c r="S97" s="8" cm="1">
        <f t="array" ref="S97">SUM(N97:R97/5)</f>
        <v>0.83792509084711542</v>
      </c>
      <c r="T97" s="9">
        <f t="shared" si="25"/>
        <v>0.83792509084711542</v>
      </c>
      <c r="U97" t="str">
        <f t="shared" si="31"/>
        <v>75-90%</v>
      </c>
      <c r="V97" s="7">
        <v>5342</v>
      </c>
      <c r="W97" s="7">
        <v>5609</v>
      </c>
      <c r="X97" s="7">
        <v>8822</v>
      </c>
      <c r="Y97" s="7">
        <v>6858</v>
      </c>
      <c r="Z97" s="7">
        <v>4306</v>
      </c>
      <c r="AA97" s="7">
        <f t="shared" ref="AA97:AA111" si="33">SUM(V97+W97+X97+Y97+Z97)</f>
        <v>30937</v>
      </c>
      <c r="AB97">
        <v>4074</v>
      </c>
      <c r="AC97">
        <v>4454</v>
      </c>
      <c r="AD97">
        <v>7599</v>
      </c>
      <c r="AE97">
        <v>6250</v>
      </c>
      <c r="AF97">
        <v>3704</v>
      </c>
      <c r="AG97" s="7">
        <f t="shared" si="30"/>
        <v>26081</v>
      </c>
    </row>
    <row r="98" spans="1:33" x14ac:dyDescent="0.3">
      <c r="A98" s="29" t="s">
        <v>135</v>
      </c>
      <c r="B98" s="27"/>
      <c r="C98" s="28"/>
      <c r="D98" s="28"/>
      <c r="E98" s="28"/>
      <c r="F98" s="28"/>
      <c r="G98" s="28"/>
      <c r="H98" s="28"/>
      <c r="I98" s="10"/>
      <c r="J98" s="29" t="b">
        <f t="shared" si="22"/>
        <v>0</v>
      </c>
      <c r="K98" s="28">
        <f t="shared" si="23"/>
        <v>0</v>
      </c>
      <c r="L98" s="29" t="b">
        <f t="shared" si="24"/>
        <v>0</v>
      </c>
      <c r="M98" s="7" t="s">
        <v>12</v>
      </c>
      <c r="N98" s="10">
        <v>1</v>
      </c>
      <c r="O98" s="10">
        <v>1</v>
      </c>
      <c r="P98" s="10">
        <v>1</v>
      </c>
      <c r="Q98" s="10">
        <v>1</v>
      </c>
      <c r="R98" s="10">
        <v>1</v>
      </c>
      <c r="S98" s="8" cm="1">
        <f t="array" ref="S98">SUM(N98:R98/5)</f>
        <v>1</v>
      </c>
      <c r="T98" s="35">
        <f t="shared" si="25"/>
        <v>1</v>
      </c>
      <c r="U98" s="29" t="str">
        <f t="shared" si="31"/>
        <v>100%</v>
      </c>
      <c r="V98" s="7">
        <v>7852</v>
      </c>
      <c r="W98" s="7">
        <v>6322</v>
      </c>
      <c r="X98" s="7">
        <v>7852</v>
      </c>
      <c r="Y98" s="7">
        <v>8552</v>
      </c>
      <c r="Z98" s="7">
        <v>4480</v>
      </c>
      <c r="AA98" s="7">
        <f t="shared" si="33"/>
        <v>35058</v>
      </c>
      <c r="AB98" s="29"/>
      <c r="AC98" s="29"/>
      <c r="AD98" s="29"/>
      <c r="AE98" s="29"/>
      <c r="AF98" s="29"/>
      <c r="AG98" s="7">
        <f t="shared" si="30"/>
        <v>0</v>
      </c>
    </row>
    <row r="99" spans="1:33" x14ac:dyDescent="0.3">
      <c r="A99" t="s">
        <v>136</v>
      </c>
      <c r="B99" s="1" t="s">
        <v>12</v>
      </c>
      <c r="C99" s="2">
        <v>41297500</v>
      </c>
      <c r="D99" s="2">
        <v>43123300</v>
      </c>
      <c r="E99" s="2">
        <v>41940900</v>
      </c>
      <c r="F99" s="2">
        <v>49991200</v>
      </c>
      <c r="G99" s="2">
        <v>50015000</v>
      </c>
      <c r="H99" s="2">
        <f>SUM(C99:G99)</f>
        <v>226367900</v>
      </c>
      <c r="I99" s="6">
        <f>G99/C99</f>
        <v>1.2110902597009505</v>
      </c>
      <c r="J99" t="b">
        <f t="shared" si="22"/>
        <v>0</v>
      </c>
      <c r="K99" s="2">
        <f t="shared" si="23"/>
        <v>45299227.75</v>
      </c>
      <c r="L99" t="b">
        <f t="shared" si="24"/>
        <v>0</v>
      </c>
      <c r="N99" s="6"/>
      <c r="O99" s="6"/>
      <c r="P99" s="6"/>
      <c r="Q99" s="6"/>
      <c r="R99" s="6"/>
      <c r="S99" s="8"/>
      <c r="T99" s="9">
        <f t="shared" si="25"/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f t="shared" si="33"/>
        <v>0</v>
      </c>
      <c r="AG99" s="7">
        <f t="shared" si="30"/>
        <v>0</v>
      </c>
    </row>
    <row r="100" spans="1:33" x14ac:dyDescent="0.3">
      <c r="A100" t="s">
        <v>137</v>
      </c>
      <c r="B100" s="1" t="s">
        <v>12</v>
      </c>
      <c r="C100" s="2">
        <v>11487311</v>
      </c>
      <c r="D100" s="2">
        <v>12455311</v>
      </c>
      <c r="E100" s="2">
        <v>12263741</v>
      </c>
      <c r="F100" s="2">
        <v>12945271</v>
      </c>
      <c r="G100" s="2">
        <v>14990471</v>
      </c>
      <c r="H100" s="2">
        <f>SUM(C100:G100)</f>
        <v>64142105</v>
      </c>
      <c r="I100" s="6">
        <f>G100/C100</f>
        <v>1.3049590979124706</v>
      </c>
      <c r="J100" t="b">
        <f t="shared" si="22"/>
        <v>0</v>
      </c>
      <c r="K100" s="2">
        <f t="shared" si="23"/>
        <v>12600431.435899999</v>
      </c>
      <c r="L100" t="b">
        <f t="shared" si="24"/>
        <v>0</v>
      </c>
      <c r="N100" s="6"/>
      <c r="O100" s="6"/>
      <c r="P100" s="6"/>
      <c r="Q100" s="6"/>
      <c r="R100" s="6"/>
      <c r="S100" s="8"/>
      <c r="T100" s="9">
        <f t="shared" si="25"/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f t="shared" si="33"/>
        <v>0</v>
      </c>
      <c r="AG100" s="7">
        <f t="shared" si="30"/>
        <v>0</v>
      </c>
    </row>
    <row r="101" spans="1:33" x14ac:dyDescent="0.3">
      <c r="A101" t="s">
        <v>140</v>
      </c>
      <c r="B101" s="1" t="s">
        <v>12</v>
      </c>
      <c r="C101" s="2">
        <v>2389000</v>
      </c>
      <c r="D101" s="2">
        <v>2255000</v>
      </c>
      <c r="E101" s="2">
        <v>3237000</v>
      </c>
      <c r="F101" s="2">
        <v>1955319</v>
      </c>
      <c r="G101" s="2">
        <v>3744000</v>
      </c>
      <c r="H101" s="2">
        <f>SUM(C101:G101)</f>
        <v>13580319</v>
      </c>
      <c r="I101" s="6">
        <f>G101/C101</f>
        <v>1.567182921724571</v>
      </c>
      <c r="J101" t="b">
        <f t="shared" ref="J101:J132" si="34">IF(G101&lt;C101, TRUE, FALSE)</f>
        <v>0</v>
      </c>
      <c r="K101" s="2">
        <f t="shared" ref="K101:K132" si="35">C101*1.0969</f>
        <v>2620494.1</v>
      </c>
      <c r="L101" t="b">
        <f t="shared" ref="L101:L132" si="36">IF(G101&lt;K101, TRUE, FALSE)</f>
        <v>0</v>
      </c>
      <c r="N101" s="6"/>
      <c r="O101" s="6"/>
      <c r="P101" s="6"/>
      <c r="Q101" s="6"/>
      <c r="R101" s="6"/>
      <c r="S101" s="8"/>
      <c r="T101" s="9">
        <f t="shared" ref="T101:T132" si="37">S101</f>
        <v>0</v>
      </c>
      <c r="V101" s="29">
        <v>0</v>
      </c>
      <c r="W101" s="7">
        <v>0</v>
      </c>
      <c r="X101" s="7">
        <v>0</v>
      </c>
      <c r="Y101" s="7">
        <v>0</v>
      </c>
      <c r="Z101" s="7">
        <v>0</v>
      </c>
      <c r="AA101" s="7">
        <f t="shared" si="33"/>
        <v>0</v>
      </c>
      <c r="AG101" s="7">
        <f t="shared" si="30"/>
        <v>0</v>
      </c>
    </row>
    <row r="102" spans="1:33" x14ac:dyDescent="0.3">
      <c r="A102" t="s">
        <v>141</v>
      </c>
      <c r="B102" s="1"/>
      <c r="C102" s="2"/>
      <c r="D102" s="2"/>
      <c r="E102" s="2"/>
      <c r="F102" s="2"/>
      <c r="G102" s="2"/>
      <c r="H102" s="2"/>
      <c r="I102" s="6"/>
      <c r="J102" t="b">
        <f t="shared" si="34"/>
        <v>0</v>
      </c>
      <c r="K102" s="2">
        <f t="shared" si="35"/>
        <v>0</v>
      </c>
      <c r="L102" t="b">
        <f t="shared" si="36"/>
        <v>0</v>
      </c>
      <c r="M102" s="7" t="s">
        <v>12</v>
      </c>
      <c r="P102" s="6">
        <v>0.96140000000000003</v>
      </c>
      <c r="Q102" s="6">
        <v>0.98560000000000003</v>
      </c>
      <c r="R102" s="6">
        <v>0.96260000000000001</v>
      </c>
      <c r="S102" s="8" cm="1">
        <f t="array" ref="S102">SUM(N102:R102/3)</f>
        <v>0.96986666666666665</v>
      </c>
      <c r="T102" s="9">
        <f t="shared" si="37"/>
        <v>0.96986666666666665</v>
      </c>
      <c r="U102" t="str">
        <f>IF(IFERROR(T102, 0) &gt; 0, IF(T102&lt;75%,"&lt;75%",IF(T102&lt;90%,"75-90%",IF(T102&lt;100%,"90-99%","100%"))), "")</f>
        <v>90-99%</v>
      </c>
      <c r="V102" s="7">
        <v>0</v>
      </c>
      <c r="W102" s="7">
        <v>72362</v>
      </c>
      <c r="X102" s="7">
        <v>118185</v>
      </c>
      <c r="Y102" s="7">
        <v>90925</v>
      </c>
      <c r="Z102" s="7">
        <v>93158</v>
      </c>
      <c r="AA102" s="7">
        <f t="shared" si="33"/>
        <v>374630</v>
      </c>
      <c r="AG102" s="7">
        <f t="shared" si="30"/>
        <v>0</v>
      </c>
    </row>
    <row r="103" spans="1:33" x14ac:dyDescent="0.3">
      <c r="A103" t="s">
        <v>142</v>
      </c>
      <c r="B103" s="1" t="s">
        <v>12</v>
      </c>
      <c r="C103" s="2">
        <v>3285813</v>
      </c>
      <c r="D103" s="2">
        <v>4425774</v>
      </c>
      <c r="E103" s="2">
        <v>7703645</v>
      </c>
      <c r="F103" s="2">
        <v>7619319</v>
      </c>
      <c r="G103" s="2">
        <v>7806462</v>
      </c>
      <c r="H103" s="2">
        <f>SUM(C103:G103)</f>
        <v>30841013</v>
      </c>
      <c r="I103" s="6">
        <f>G103/C103</f>
        <v>2.3758083615835717</v>
      </c>
      <c r="J103" t="b">
        <f t="shared" si="34"/>
        <v>0</v>
      </c>
      <c r="K103" s="2">
        <f t="shared" si="35"/>
        <v>3604208.2796999998</v>
      </c>
      <c r="L103" t="b">
        <f t="shared" si="36"/>
        <v>0</v>
      </c>
      <c r="N103" s="6"/>
      <c r="O103" s="6"/>
      <c r="P103" s="6"/>
      <c r="Q103" s="6"/>
      <c r="R103" s="6"/>
      <c r="S103" s="8"/>
      <c r="T103" s="9">
        <f t="shared" si="37"/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f t="shared" si="33"/>
        <v>0</v>
      </c>
      <c r="AG103" s="7">
        <f t="shared" si="30"/>
        <v>0</v>
      </c>
    </row>
    <row r="104" spans="1:33" x14ac:dyDescent="0.3">
      <c r="A104" t="s">
        <v>143</v>
      </c>
      <c r="B104" s="1" t="s">
        <v>12</v>
      </c>
      <c r="C104" s="2">
        <v>906200</v>
      </c>
      <c r="D104" s="2">
        <v>681000</v>
      </c>
      <c r="E104" s="2">
        <v>1158300</v>
      </c>
      <c r="F104" s="2">
        <v>784000</v>
      </c>
      <c r="G104" s="2">
        <v>888400</v>
      </c>
      <c r="H104" s="2">
        <f>SUM(C104:G104)</f>
        <v>4417900</v>
      </c>
      <c r="I104" s="6">
        <f>G104/C104</f>
        <v>0.98035753696755679</v>
      </c>
      <c r="J104" t="b">
        <f t="shared" si="34"/>
        <v>1</v>
      </c>
      <c r="K104" s="2">
        <f t="shared" si="35"/>
        <v>994010.78</v>
      </c>
      <c r="L104" t="b">
        <f t="shared" si="36"/>
        <v>1</v>
      </c>
      <c r="N104" s="6"/>
      <c r="O104" s="6"/>
      <c r="P104" s="6"/>
      <c r="Q104" s="6"/>
      <c r="R104" s="6"/>
      <c r="S104" s="8"/>
      <c r="T104" s="9">
        <f t="shared" si="37"/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f t="shared" si="33"/>
        <v>0</v>
      </c>
      <c r="AG104" s="7">
        <f t="shared" si="30"/>
        <v>0</v>
      </c>
    </row>
    <row r="105" spans="1:33" x14ac:dyDescent="0.3">
      <c r="A105" t="s">
        <v>144</v>
      </c>
      <c r="B105" s="1" t="s">
        <v>12</v>
      </c>
      <c r="C105" s="2">
        <v>13300000</v>
      </c>
      <c r="D105" s="2">
        <v>15200000</v>
      </c>
      <c r="E105" s="2">
        <v>13500000</v>
      </c>
      <c r="F105" s="2">
        <v>13300000</v>
      </c>
      <c r="G105" s="2">
        <v>13100000</v>
      </c>
      <c r="H105" s="2">
        <f>SUM(C105:G105)</f>
        <v>68400000</v>
      </c>
      <c r="I105" s="6">
        <f>G105/C105</f>
        <v>0.98496240601503759</v>
      </c>
      <c r="J105" t="b">
        <f t="shared" si="34"/>
        <v>1</v>
      </c>
      <c r="K105" s="2">
        <f t="shared" si="35"/>
        <v>14588770</v>
      </c>
      <c r="L105" t="b">
        <f t="shared" si="36"/>
        <v>1</v>
      </c>
      <c r="N105" s="6"/>
      <c r="O105" s="6"/>
      <c r="P105" s="6"/>
      <c r="Q105" s="6"/>
      <c r="R105" s="6"/>
      <c r="S105" s="8"/>
      <c r="T105" s="9">
        <f t="shared" si="37"/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f t="shared" si="33"/>
        <v>0</v>
      </c>
      <c r="AG105" s="7">
        <f t="shared" si="30"/>
        <v>0</v>
      </c>
    </row>
    <row r="106" spans="1:33" x14ac:dyDescent="0.3">
      <c r="A106" t="s">
        <v>145</v>
      </c>
      <c r="B106" s="1" t="s">
        <v>12</v>
      </c>
      <c r="C106" s="2">
        <v>2879790</v>
      </c>
      <c r="D106" s="2">
        <v>2849500</v>
      </c>
      <c r="E106" s="2">
        <v>3082710</v>
      </c>
      <c r="F106" s="2">
        <v>2904000</v>
      </c>
      <c r="G106" s="2">
        <v>3067000</v>
      </c>
      <c r="H106" s="2">
        <f>SUM(C106:G106)</f>
        <v>14783000</v>
      </c>
      <c r="I106" s="6">
        <f>G106/C106</f>
        <v>1.0650082124043767</v>
      </c>
      <c r="J106" t="b">
        <f t="shared" si="34"/>
        <v>0</v>
      </c>
      <c r="K106" s="2">
        <f t="shared" si="35"/>
        <v>3158841.6510000001</v>
      </c>
      <c r="L106" t="b">
        <f t="shared" si="36"/>
        <v>1</v>
      </c>
      <c r="N106" s="6"/>
      <c r="O106" s="6"/>
      <c r="P106" s="6"/>
      <c r="Q106" s="6"/>
      <c r="R106" s="6"/>
      <c r="S106" s="8"/>
      <c r="T106" s="9">
        <f t="shared" si="37"/>
        <v>0</v>
      </c>
      <c r="V106" s="7">
        <v>0</v>
      </c>
      <c r="W106" s="7">
        <v>0</v>
      </c>
      <c r="X106" s="7">
        <v>0</v>
      </c>
      <c r="Y106" s="7">
        <v>0</v>
      </c>
      <c r="Z106" s="29">
        <v>0</v>
      </c>
      <c r="AA106" s="7">
        <f t="shared" si="33"/>
        <v>0</v>
      </c>
      <c r="AG106" s="7">
        <f t="shared" si="30"/>
        <v>0</v>
      </c>
    </row>
    <row r="107" spans="1:33" x14ac:dyDescent="0.3">
      <c r="A107" t="s">
        <v>146</v>
      </c>
      <c r="B107" s="1"/>
      <c r="I107" s="6"/>
      <c r="J107" t="b">
        <f t="shared" si="34"/>
        <v>0</v>
      </c>
      <c r="K107" s="2">
        <f t="shared" si="35"/>
        <v>0</v>
      </c>
      <c r="L107" t="b">
        <f t="shared" si="36"/>
        <v>0</v>
      </c>
      <c r="M107" s="7" t="s">
        <v>12</v>
      </c>
      <c r="N107" s="6">
        <f>AB107/V107</f>
        <v>0.46090670170827858</v>
      </c>
      <c r="O107" s="6">
        <f>AC107/W107</f>
        <v>0.74545957407578134</v>
      </c>
      <c r="P107" s="6">
        <f>AD107/X107</f>
        <v>0.77658833217204026</v>
      </c>
      <c r="Q107" s="6">
        <f>AE107/Y107</f>
        <v>0.98462554235049993</v>
      </c>
      <c r="R107" s="6"/>
      <c r="S107" s="8" cm="1">
        <f t="array" ref="S107">SUM(N107:R107/4)</f>
        <v>0.74189503757664998</v>
      </c>
      <c r="T107" s="9">
        <f t="shared" si="37"/>
        <v>0.74189503757664998</v>
      </c>
      <c r="U107" t="str">
        <f>IF(IFERROR(T107, 0) &gt; 0, IF(T107&lt;75%,"&lt;75%",IF(T107&lt;90%,"75-90%",IF(T107&lt;100%,"90-99%","100%"))), "")</f>
        <v>&lt;75%</v>
      </c>
      <c r="V107" s="7">
        <v>15220</v>
      </c>
      <c r="W107" s="7">
        <v>10847</v>
      </c>
      <c r="X107" s="7">
        <v>15787</v>
      </c>
      <c r="Y107" s="7">
        <v>10602</v>
      </c>
      <c r="Z107" s="7">
        <v>0</v>
      </c>
      <c r="AA107" s="7">
        <f t="shared" si="33"/>
        <v>52456</v>
      </c>
      <c r="AB107">
        <v>7015</v>
      </c>
      <c r="AC107">
        <v>8086</v>
      </c>
      <c r="AD107">
        <v>12260</v>
      </c>
      <c r="AE107">
        <v>10439</v>
      </c>
      <c r="AG107" s="7">
        <f t="shared" si="30"/>
        <v>37800</v>
      </c>
    </row>
    <row r="108" spans="1:33" x14ac:dyDescent="0.3">
      <c r="A108" t="s">
        <v>147</v>
      </c>
      <c r="B108" s="1" t="s">
        <v>12</v>
      </c>
      <c r="C108" s="2">
        <v>5261000</v>
      </c>
      <c r="D108" s="2">
        <v>6670000</v>
      </c>
      <c r="E108" s="2">
        <v>8374000</v>
      </c>
      <c r="F108" s="2">
        <v>4790000</v>
      </c>
      <c r="G108" s="2">
        <v>10455000</v>
      </c>
      <c r="H108" s="2">
        <f>SUM(C108:G108)</f>
        <v>35550000</v>
      </c>
      <c r="I108" s="6">
        <f>G108/C108</f>
        <v>1.9872647785592092</v>
      </c>
      <c r="J108" t="b">
        <f t="shared" si="34"/>
        <v>0</v>
      </c>
      <c r="K108" s="2">
        <f t="shared" si="35"/>
        <v>5770790.9000000004</v>
      </c>
      <c r="L108" t="b">
        <f t="shared" si="36"/>
        <v>0</v>
      </c>
      <c r="M108" s="7" t="s">
        <v>12</v>
      </c>
      <c r="N108" s="6">
        <f>(1+0.94)/2</f>
        <v>0.97</v>
      </c>
      <c r="O108" s="6">
        <f>(1+0.94)/2</f>
        <v>0.97</v>
      </c>
      <c r="P108" s="6">
        <f>(1+0.92)/2</f>
        <v>0.96</v>
      </c>
      <c r="Q108" s="6">
        <f>(1+0.91)/2</f>
        <v>0.95500000000000007</v>
      </c>
      <c r="R108" s="6">
        <f>(1+0.85)/2</f>
        <v>0.92500000000000004</v>
      </c>
      <c r="S108" s="8" cm="1">
        <f t="array" ref="S108">SUM(N108:R108/5)</f>
        <v>0.95600000000000018</v>
      </c>
      <c r="T108" s="9">
        <f t="shared" si="37"/>
        <v>0.95600000000000018</v>
      </c>
      <c r="U108" t="str">
        <f>IF(IFERROR(T108, 0) &gt; 0, IF(T108&lt;75%,"&lt;75%",IF(T108&lt;90%,"75-90%",IF(T108&lt;100%,"90-99%","100%"))), "")</f>
        <v>90-99%</v>
      </c>
      <c r="V108" s="29">
        <v>6946</v>
      </c>
      <c r="W108" s="7">
        <v>4288</v>
      </c>
      <c r="X108" s="7">
        <v>5434</v>
      </c>
      <c r="Y108" s="7">
        <v>3122</v>
      </c>
      <c r="Z108" s="7">
        <v>2592</v>
      </c>
      <c r="AA108" s="7">
        <f t="shared" si="33"/>
        <v>22382</v>
      </c>
      <c r="AG108" s="7">
        <f t="shared" si="30"/>
        <v>0</v>
      </c>
    </row>
    <row r="109" spans="1:33" x14ac:dyDescent="0.3">
      <c r="A109" t="s">
        <v>148</v>
      </c>
      <c r="B109" s="1" t="s">
        <v>12</v>
      </c>
      <c r="C109" s="2">
        <v>7556346</v>
      </c>
      <c r="D109" s="2">
        <v>6661949</v>
      </c>
      <c r="E109" s="2">
        <v>5762577</v>
      </c>
      <c r="F109" s="2">
        <v>4511359</v>
      </c>
      <c r="G109" s="2">
        <v>6254249</v>
      </c>
      <c r="H109" s="2">
        <f>SUM(C109:G109)</f>
        <v>30746480</v>
      </c>
      <c r="I109" s="6">
        <f>G109/C109</f>
        <v>0.82768165989222831</v>
      </c>
      <c r="J109" t="b">
        <f t="shared" si="34"/>
        <v>1</v>
      </c>
      <c r="K109" s="2">
        <f t="shared" si="35"/>
        <v>8288555.9273999995</v>
      </c>
      <c r="L109" t="b">
        <f t="shared" si="36"/>
        <v>1</v>
      </c>
      <c r="M109" s="7" t="s">
        <v>12</v>
      </c>
      <c r="O109" s="6">
        <f>AC109/W109</f>
        <v>0.75162454873646212</v>
      </c>
      <c r="P109" s="6">
        <f>AD109/X109</f>
        <v>0.66914498141263945</v>
      </c>
      <c r="Q109" s="6">
        <f>AE109/Y109</f>
        <v>0.62946245383668442</v>
      </c>
      <c r="R109" s="6">
        <f>AF109/Z109</f>
        <v>0.80928923293455313</v>
      </c>
      <c r="S109" s="8" cm="1">
        <f t="array" ref="S109">SUM(N109:R109/4)</f>
        <v>0.71488030423008475</v>
      </c>
      <c r="T109" s="9">
        <f t="shared" si="37"/>
        <v>0.71488030423008475</v>
      </c>
      <c r="U109" t="str">
        <f>IF(IFERROR(T109, 0) &gt; 0, IF(T109&lt;75%,"&lt;75%",IF(T109&lt;90%,"75-90%",IF(T109&lt;100%,"90-99%","100%"))), "")</f>
        <v>&lt;75%</v>
      </c>
      <c r="V109" s="7">
        <v>0</v>
      </c>
      <c r="W109" s="7">
        <v>1385</v>
      </c>
      <c r="X109" s="7">
        <v>2959</v>
      </c>
      <c r="Y109" s="7">
        <v>2437</v>
      </c>
      <c r="Z109" s="7">
        <v>2842</v>
      </c>
      <c r="AA109" s="7">
        <f t="shared" si="33"/>
        <v>9623</v>
      </c>
      <c r="AC109">
        <v>1041</v>
      </c>
      <c r="AD109">
        <v>1980</v>
      </c>
      <c r="AE109">
        <v>1534</v>
      </c>
      <c r="AF109">
        <v>2300</v>
      </c>
      <c r="AG109" s="7">
        <f t="shared" si="30"/>
        <v>6855</v>
      </c>
    </row>
    <row r="110" spans="1:33" x14ac:dyDescent="0.3">
      <c r="A110" t="s">
        <v>149</v>
      </c>
      <c r="B110" s="1"/>
      <c r="C110" s="2"/>
      <c r="D110" s="2"/>
      <c r="E110" s="2"/>
      <c r="F110" s="2"/>
      <c r="G110" s="2"/>
      <c r="H110" s="2"/>
      <c r="I110" s="6"/>
      <c r="J110" t="b">
        <f t="shared" si="34"/>
        <v>0</v>
      </c>
      <c r="K110" s="2">
        <f t="shared" si="35"/>
        <v>0</v>
      </c>
      <c r="L110" t="b">
        <f t="shared" si="36"/>
        <v>0</v>
      </c>
      <c r="N110" s="6"/>
      <c r="O110" s="6"/>
      <c r="P110" s="6"/>
      <c r="Q110" s="6"/>
      <c r="R110" s="6"/>
      <c r="S110" s="8"/>
      <c r="T110" s="9">
        <f t="shared" si="37"/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f t="shared" si="33"/>
        <v>0</v>
      </c>
      <c r="AG110" s="7">
        <f t="shared" si="30"/>
        <v>0</v>
      </c>
    </row>
    <row r="111" spans="1:33" x14ac:dyDescent="0.3">
      <c r="A111" t="s">
        <v>150</v>
      </c>
      <c r="B111" s="1" t="s">
        <v>12</v>
      </c>
      <c r="C111" s="2">
        <v>10262100</v>
      </c>
      <c r="D111" s="2">
        <v>11397900</v>
      </c>
      <c r="E111" s="2">
        <v>12045600</v>
      </c>
      <c r="F111" s="2">
        <v>12617300</v>
      </c>
      <c r="G111" s="2">
        <v>10768700</v>
      </c>
      <c r="H111" s="2">
        <f>SUM(C111:G111)</f>
        <v>57091600</v>
      </c>
      <c r="I111" s="6">
        <f>G111/C111</f>
        <v>1.0493661141481763</v>
      </c>
      <c r="J111" t="b">
        <f t="shared" si="34"/>
        <v>0</v>
      </c>
      <c r="K111" s="2">
        <f t="shared" si="35"/>
        <v>11256497.49</v>
      </c>
      <c r="L111" t="b">
        <f t="shared" si="36"/>
        <v>1</v>
      </c>
      <c r="M111" s="7" t="s">
        <v>12</v>
      </c>
      <c r="N111" s="6">
        <f>AB111/V111</f>
        <v>0.96012269938650308</v>
      </c>
      <c r="O111" s="6">
        <f>AC111/W111</f>
        <v>0.98405466970387245</v>
      </c>
      <c r="P111" s="6">
        <f>AD111/X111</f>
        <v>0.98098859315589348</v>
      </c>
      <c r="Q111" s="6">
        <f>AE111/Y111</f>
        <v>1</v>
      </c>
      <c r="R111" s="6">
        <f>AF111/Z111</f>
        <v>0.83958333333333335</v>
      </c>
      <c r="S111" s="10" cm="1">
        <f t="array" ref="S111">SUM(N111:R111/5)</f>
        <v>0.95294985911592045</v>
      </c>
      <c r="T111" s="9">
        <f t="shared" si="37"/>
        <v>0.95294985911592045</v>
      </c>
      <c r="U111" t="str">
        <f>IF(IFERROR(T111, 0) &gt; 0, IF(T111&lt;75%,"&lt;75%",IF(T111&lt;90%,"75-90%",IF(T111&lt;100%,"90-99%","100%"))), "")</f>
        <v>90-99%</v>
      </c>
      <c r="V111" s="7">
        <v>652</v>
      </c>
      <c r="W111" s="7">
        <v>878</v>
      </c>
      <c r="X111" s="7">
        <v>1315</v>
      </c>
      <c r="Y111" s="7">
        <v>1053</v>
      </c>
      <c r="Z111" s="7">
        <v>960</v>
      </c>
      <c r="AA111" s="7">
        <f t="shared" si="33"/>
        <v>4858</v>
      </c>
      <c r="AB111">
        <f>88+3+535</f>
        <v>626</v>
      </c>
      <c r="AC111">
        <f>103+18+743</f>
        <v>864</v>
      </c>
      <c r="AD111">
        <f>203+12+1075</f>
        <v>1290</v>
      </c>
      <c r="AE111">
        <f>144+19+890</f>
        <v>1053</v>
      </c>
      <c r="AF111">
        <f>699+12+95</f>
        <v>806</v>
      </c>
      <c r="AG111" s="7">
        <f t="shared" si="30"/>
        <v>4639</v>
      </c>
    </row>
    <row r="112" spans="1:33" x14ac:dyDescent="0.3">
      <c r="A112" t="s">
        <v>151</v>
      </c>
      <c r="B112" s="1" t="s">
        <v>12</v>
      </c>
      <c r="C112" s="2">
        <v>1090480</v>
      </c>
      <c r="D112" s="2">
        <v>1073700</v>
      </c>
      <c r="E112" s="2">
        <v>782110</v>
      </c>
      <c r="F112" s="2">
        <v>802170</v>
      </c>
      <c r="G112" s="2">
        <v>785320</v>
      </c>
      <c r="H112" s="2">
        <f>SUM(C112:G112)</f>
        <v>4533780</v>
      </c>
      <c r="I112" s="6">
        <f>G112/C112</f>
        <v>0.72015992957229846</v>
      </c>
      <c r="J112" t="b">
        <f t="shared" si="34"/>
        <v>1</v>
      </c>
      <c r="K112" s="2">
        <f t="shared" si="35"/>
        <v>1196147.5119999999</v>
      </c>
      <c r="L112" t="b">
        <f t="shared" si="36"/>
        <v>1</v>
      </c>
      <c r="S112" s="7"/>
      <c r="T112" s="9">
        <f t="shared" si="37"/>
        <v>0</v>
      </c>
      <c r="V112" s="7"/>
      <c r="W112" s="7"/>
      <c r="X112" s="7"/>
      <c r="Y112" s="7"/>
      <c r="Z112" s="7"/>
      <c r="AG112" s="7"/>
    </row>
    <row r="113" spans="1:33" x14ac:dyDescent="0.3">
      <c r="A113" t="s">
        <v>152</v>
      </c>
      <c r="B113" s="1" t="s">
        <v>12</v>
      </c>
      <c r="C113" s="2">
        <v>2488000</v>
      </c>
      <c r="D113" s="2">
        <v>2611090</v>
      </c>
      <c r="E113" s="2">
        <v>2503090</v>
      </c>
      <c r="F113" s="2">
        <v>2633000</v>
      </c>
      <c r="G113" s="2">
        <v>5090000</v>
      </c>
      <c r="H113" s="2">
        <f>SUM(C113:G113)</f>
        <v>15325180</v>
      </c>
      <c r="I113" s="6">
        <f>G113/C113</f>
        <v>2.0458199356913185</v>
      </c>
      <c r="J113" t="b">
        <f t="shared" si="34"/>
        <v>0</v>
      </c>
      <c r="K113" s="2">
        <f t="shared" si="35"/>
        <v>2729087.2</v>
      </c>
      <c r="L113" t="b">
        <f t="shared" si="36"/>
        <v>0</v>
      </c>
      <c r="N113" s="6"/>
      <c r="O113" s="6"/>
      <c r="P113" s="6"/>
      <c r="Q113" s="6"/>
      <c r="R113" s="6"/>
      <c r="S113" s="8"/>
      <c r="T113" s="9">
        <f t="shared" si="37"/>
        <v>0</v>
      </c>
      <c r="U113" t="str">
        <f>IF(IFERROR(T113, 0) &gt; 0, IF(T113&lt;75%,"&lt;75%",IF(T113&lt;90%,"75-90%",IF(T113&lt;100%,"90-99%","100%"))), "")</f>
        <v/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f t="shared" ref="AA113:AA156" si="38">SUM(V113+W113+X113+Y113+Z113)</f>
        <v>0</v>
      </c>
      <c r="AG113" s="7">
        <f t="shared" ref="AG113:AG156" si="39">SUM(AB113:AF113)</f>
        <v>0</v>
      </c>
    </row>
    <row r="114" spans="1:33" x14ac:dyDescent="0.3">
      <c r="A114" t="s">
        <v>153</v>
      </c>
      <c r="B114" s="1" t="s">
        <v>12</v>
      </c>
      <c r="C114" s="2">
        <v>4790720</v>
      </c>
      <c r="D114" s="2">
        <v>4721156</v>
      </c>
      <c r="E114" s="2">
        <v>4278720</v>
      </c>
      <c r="F114" s="2">
        <v>4500467</v>
      </c>
      <c r="G114" s="2">
        <v>8381800</v>
      </c>
      <c r="H114" s="2">
        <f>SUM(C114:G114)</f>
        <v>26672863</v>
      </c>
      <c r="I114" s="6">
        <f>G114/C114</f>
        <v>1.7495908756930065</v>
      </c>
      <c r="J114" t="b">
        <f t="shared" si="34"/>
        <v>0</v>
      </c>
      <c r="K114" s="2">
        <f t="shared" si="35"/>
        <v>5254940.7680000002</v>
      </c>
      <c r="L114" t="b">
        <f t="shared" si="36"/>
        <v>0</v>
      </c>
      <c r="N114" s="6"/>
      <c r="O114" s="6"/>
      <c r="P114" s="6"/>
      <c r="Q114" s="6"/>
      <c r="R114" s="6"/>
      <c r="S114" s="8"/>
      <c r="T114" s="9">
        <f t="shared" si="37"/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f t="shared" si="38"/>
        <v>0</v>
      </c>
      <c r="AG114" s="7">
        <f t="shared" si="39"/>
        <v>0</v>
      </c>
    </row>
    <row r="115" spans="1:33" x14ac:dyDescent="0.3">
      <c r="A115" t="s">
        <v>155</v>
      </c>
      <c r="B115" s="1"/>
      <c r="I115" s="6"/>
      <c r="J115" t="b">
        <f t="shared" si="34"/>
        <v>0</v>
      </c>
      <c r="K115" s="2">
        <f t="shared" si="35"/>
        <v>0</v>
      </c>
      <c r="L115" t="b">
        <f t="shared" si="36"/>
        <v>0</v>
      </c>
      <c r="M115" s="7" t="s">
        <v>12</v>
      </c>
      <c r="N115" s="6">
        <f>AB115/V115</f>
        <v>0.49041621029572835</v>
      </c>
      <c r="O115" s="6">
        <f>AC115/W115</f>
        <v>0.54124903623747112</v>
      </c>
      <c r="P115" s="6">
        <f>AD115/X115</f>
        <v>0.37930210325047803</v>
      </c>
      <c r="Q115" s="6">
        <f>AE115/Y115</f>
        <v>0.26794657762938229</v>
      </c>
      <c r="R115" s="6">
        <f>AF115/Z115</f>
        <v>0.64850615114235499</v>
      </c>
      <c r="S115" s="8" cm="1">
        <f t="array" ref="S115">SUM(N115:R115/5)</f>
        <v>0.465484015711083</v>
      </c>
      <c r="T115" s="9">
        <f t="shared" si="37"/>
        <v>0.465484015711083</v>
      </c>
      <c r="U115" t="str">
        <f>IF(IFERROR(T115, 0) &gt; 0, IF(T115&lt;75%,"&lt;75%",IF(T115&lt;90%,"75-90%",IF(T115&lt;100%,"90-99%","100%"))), "")</f>
        <v>&lt;75%</v>
      </c>
      <c r="V115" s="7">
        <v>25564</v>
      </c>
      <c r="W115" s="7">
        <v>27237</v>
      </c>
      <c r="X115" s="7">
        <v>29288</v>
      </c>
      <c r="Y115" s="7">
        <v>33544</v>
      </c>
      <c r="Z115" s="7">
        <v>31864</v>
      </c>
      <c r="AA115" s="7">
        <f t="shared" si="38"/>
        <v>147497</v>
      </c>
      <c r="AB115">
        <v>12537</v>
      </c>
      <c r="AC115">
        <v>14742</v>
      </c>
      <c r="AD115">
        <v>11109</v>
      </c>
      <c r="AE115">
        <v>8988</v>
      </c>
      <c r="AF115">
        <v>20664</v>
      </c>
      <c r="AG115" s="7">
        <f t="shared" si="39"/>
        <v>68040</v>
      </c>
    </row>
    <row r="116" spans="1:33" x14ac:dyDescent="0.3">
      <c r="A116" t="s">
        <v>158</v>
      </c>
      <c r="B116" s="1" t="s">
        <v>12</v>
      </c>
      <c r="C116" s="28">
        <v>1266000</v>
      </c>
      <c r="D116" s="28">
        <v>1269000</v>
      </c>
      <c r="E116" s="28">
        <v>1140000</v>
      </c>
      <c r="F116" s="28">
        <v>1213000</v>
      </c>
      <c r="G116" s="28">
        <v>1287000</v>
      </c>
      <c r="H116" s="2">
        <f t="shared" ref="H116:H127" si="40">SUM(C116:G116)</f>
        <v>6175000</v>
      </c>
      <c r="I116" s="6">
        <f t="shared" ref="I116:I127" si="41">G116/C116</f>
        <v>1.0165876777251184</v>
      </c>
      <c r="J116" t="b">
        <f t="shared" si="34"/>
        <v>0</v>
      </c>
      <c r="K116" s="2">
        <f t="shared" si="35"/>
        <v>1388675.4</v>
      </c>
      <c r="L116" t="b">
        <f t="shared" si="36"/>
        <v>1</v>
      </c>
      <c r="N116" s="6"/>
      <c r="O116" s="6"/>
      <c r="P116" s="6"/>
      <c r="Q116" s="6"/>
      <c r="R116" s="6"/>
      <c r="S116" s="8" cm="1">
        <f t="array" ref="S116">SUM(N116:R116/5)</f>
        <v>0</v>
      </c>
      <c r="T116" s="9">
        <f t="shared" si="37"/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f t="shared" si="38"/>
        <v>0</v>
      </c>
      <c r="AG116" s="7">
        <f t="shared" si="39"/>
        <v>0</v>
      </c>
    </row>
    <row r="117" spans="1:33" x14ac:dyDescent="0.3">
      <c r="A117" t="s">
        <v>159</v>
      </c>
      <c r="B117" s="1" t="s">
        <v>12</v>
      </c>
      <c r="C117" s="28">
        <f>1049402+6059008</f>
        <v>7108410</v>
      </c>
      <c r="D117" s="28">
        <f>1049402+7014371</f>
        <v>8063773</v>
      </c>
      <c r="E117" s="28">
        <f>1049402+9843346</f>
        <v>10892748</v>
      </c>
      <c r="F117" s="28">
        <f>703829+9597232</f>
        <v>10301061</v>
      </c>
      <c r="G117" s="28">
        <f>703829+13619956</f>
        <v>14323785</v>
      </c>
      <c r="H117" s="2">
        <f t="shared" si="40"/>
        <v>50689777</v>
      </c>
      <c r="I117" s="6">
        <f t="shared" si="41"/>
        <v>2.0150476688879793</v>
      </c>
      <c r="J117" t="b">
        <f t="shared" si="34"/>
        <v>0</v>
      </c>
      <c r="K117" s="2">
        <f t="shared" si="35"/>
        <v>7797214.9289999995</v>
      </c>
      <c r="L117" t="b">
        <f t="shared" si="36"/>
        <v>0</v>
      </c>
      <c r="M117" s="7" t="s">
        <v>12</v>
      </c>
      <c r="N117" s="6">
        <f>AB117/V117</f>
        <v>0.93767656583752501</v>
      </c>
      <c r="O117" s="6">
        <f>AC117/W117</f>
        <v>0.94845537757437071</v>
      </c>
      <c r="P117" s="6">
        <f>AD117/X117</f>
        <v>0.89843424195321686</v>
      </c>
      <c r="Q117" s="6">
        <f>AE117/Y117</f>
        <v>0.94836675625387634</v>
      </c>
      <c r="R117" s="6">
        <f>AF117/Z117</f>
        <v>0.98576512455516019</v>
      </c>
      <c r="S117" s="8" cm="1">
        <f t="array" ref="S117">SUM(N117:R117/5)</f>
        <v>0.94373961323482991</v>
      </c>
      <c r="T117" s="9">
        <f t="shared" si="37"/>
        <v>0.94373961323482991</v>
      </c>
      <c r="U117" t="str">
        <f>IF(IFERROR(T117, 0) &gt; 0, IF(T117&lt;75%,"&lt;75%",IF(T117&lt;90%,"75-90%",IF(T117&lt;100%,"90-99%","100%"))), "")</f>
        <v>90-99%</v>
      </c>
      <c r="V117" s="7">
        <v>29026</v>
      </c>
      <c r="W117" s="7">
        <v>17480</v>
      </c>
      <c r="X117" s="7">
        <v>26377</v>
      </c>
      <c r="Y117" s="7">
        <v>19348</v>
      </c>
      <c r="Z117" s="7">
        <v>16298</v>
      </c>
      <c r="AA117" s="7">
        <f t="shared" si="38"/>
        <v>108529</v>
      </c>
      <c r="AB117">
        <v>27217</v>
      </c>
      <c r="AC117">
        <v>16579</v>
      </c>
      <c r="AD117">
        <v>23698</v>
      </c>
      <c r="AE117">
        <v>18349</v>
      </c>
      <c r="AF117">
        <v>16066</v>
      </c>
      <c r="AG117" s="7">
        <f t="shared" si="39"/>
        <v>101909</v>
      </c>
    </row>
    <row r="118" spans="1:33" x14ac:dyDescent="0.3">
      <c r="A118" t="s">
        <v>160</v>
      </c>
      <c r="B118" s="1" t="s">
        <v>12</v>
      </c>
      <c r="C118" s="38">
        <v>2169000</v>
      </c>
      <c r="D118" s="38">
        <v>2310000</v>
      </c>
      <c r="E118" s="38">
        <v>1911700</v>
      </c>
      <c r="F118" s="38">
        <v>1836884</v>
      </c>
      <c r="G118" s="38">
        <v>2040500</v>
      </c>
      <c r="H118" s="2">
        <f t="shared" si="40"/>
        <v>10268084</v>
      </c>
      <c r="I118" s="6">
        <f t="shared" si="41"/>
        <v>0.94075610880590133</v>
      </c>
      <c r="J118" t="b">
        <f t="shared" si="34"/>
        <v>1</v>
      </c>
      <c r="K118" s="2">
        <f t="shared" si="35"/>
        <v>2379176.1</v>
      </c>
      <c r="L118" t="b">
        <f t="shared" si="36"/>
        <v>1</v>
      </c>
      <c r="N118" s="6"/>
      <c r="O118" s="6"/>
      <c r="P118" s="6"/>
      <c r="Q118" s="6"/>
      <c r="R118" s="6"/>
      <c r="S118" s="8" cm="1">
        <f t="array" ref="S118">SUM(N118:R118/5)</f>
        <v>0</v>
      </c>
      <c r="T118" s="9">
        <f t="shared" si="37"/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f t="shared" si="38"/>
        <v>0</v>
      </c>
      <c r="AG118" s="7">
        <f t="shared" si="39"/>
        <v>0</v>
      </c>
    </row>
    <row r="119" spans="1:33" x14ac:dyDescent="0.3">
      <c r="A119" t="s">
        <v>161</v>
      </c>
      <c r="B119" s="1" t="s">
        <v>12</v>
      </c>
      <c r="C119" s="3">
        <v>5065341</v>
      </c>
      <c r="D119" s="3">
        <v>5347692</v>
      </c>
      <c r="E119" s="3">
        <v>3383132</v>
      </c>
      <c r="F119" s="3">
        <v>4099067</v>
      </c>
      <c r="G119" s="3">
        <v>3492130</v>
      </c>
      <c r="H119" s="2">
        <f t="shared" si="40"/>
        <v>21387362</v>
      </c>
      <c r="I119" s="6">
        <f t="shared" si="41"/>
        <v>0.68941656642662363</v>
      </c>
      <c r="J119" t="b">
        <f t="shared" si="34"/>
        <v>1</v>
      </c>
      <c r="K119" s="2">
        <f t="shared" si="35"/>
        <v>5556172.5428999998</v>
      </c>
      <c r="L119" t="b">
        <f t="shared" si="36"/>
        <v>1</v>
      </c>
      <c r="M119" s="7" t="s">
        <v>12</v>
      </c>
      <c r="N119" s="6">
        <f>AB119/V119</f>
        <v>0.94594594594594594</v>
      </c>
      <c r="O119" s="6">
        <f>AC119/W119</f>
        <v>0.91854915685650651</v>
      </c>
      <c r="P119" s="6">
        <f>AD119/X119</f>
        <v>0.97701883179061599</v>
      </c>
      <c r="Q119" s="6">
        <f>AE119/Y119</f>
        <v>0.93103448275862066</v>
      </c>
      <c r="R119" s="6">
        <f>AF119/Z119</f>
        <v>0.86450584484590864</v>
      </c>
      <c r="S119" s="8" cm="1">
        <f t="array" ref="S119">SUM(N119:R119/5)</f>
        <v>0.92741085243951948</v>
      </c>
      <c r="T119" s="9">
        <f t="shared" si="37"/>
        <v>0.92741085243951948</v>
      </c>
      <c r="U119" t="str">
        <f>IF(IFERROR(T119, 0) &gt; 0, IF(T119&lt;75%,"&lt;75%",IF(T119&lt;90%,"75-90%",IF(T119&lt;100%,"90-99%","100%"))), "")</f>
        <v>90-99%</v>
      </c>
      <c r="V119" s="7">
        <v>2997</v>
      </c>
      <c r="W119" s="7">
        <v>3143</v>
      </c>
      <c r="X119" s="7">
        <v>3133</v>
      </c>
      <c r="Y119" s="7">
        <v>3016</v>
      </c>
      <c r="Z119" s="7">
        <v>1882</v>
      </c>
      <c r="AA119" s="7">
        <f t="shared" si="38"/>
        <v>14171</v>
      </c>
      <c r="AB119">
        <v>2835</v>
      </c>
      <c r="AC119">
        <v>2887</v>
      </c>
      <c r="AD119">
        <v>3061</v>
      </c>
      <c r="AE119">
        <v>2808</v>
      </c>
      <c r="AF119">
        <v>1627</v>
      </c>
      <c r="AG119" s="7">
        <f t="shared" si="39"/>
        <v>13218</v>
      </c>
    </row>
    <row r="120" spans="1:33" x14ac:dyDescent="0.3">
      <c r="A120" t="s">
        <v>162</v>
      </c>
      <c r="B120" s="1" t="s">
        <v>12</v>
      </c>
      <c r="C120" s="2">
        <v>6420000</v>
      </c>
      <c r="D120" s="2">
        <v>5142000</v>
      </c>
      <c r="E120" s="2">
        <v>4117000</v>
      </c>
      <c r="F120" s="2">
        <v>3522000</v>
      </c>
      <c r="G120" s="2">
        <v>3433000</v>
      </c>
      <c r="H120" s="2">
        <f t="shared" si="40"/>
        <v>22634000</v>
      </c>
      <c r="I120" s="6">
        <f t="shared" si="41"/>
        <v>0.53473520249221185</v>
      </c>
      <c r="J120" t="b">
        <f t="shared" si="34"/>
        <v>1</v>
      </c>
      <c r="K120" s="2">
        <f t="shared" si="35"/>
        <v>7042098</v>
      </c>
      <c r="L120" t="b">
        <f t="shared" si="36"/>
        <v>1</v>
      </c>
      <c r="N120" s="6"/>
      <c r="O120" s="6"/>
      <c r="P120" s="6"/>
      <c r="Q120" s="6"/>
      <c r="R120" s="6"/>
      <c r="S120" s="8" cm="1">
        <f t="array" ref="S120">SUM(N120:R120/5)</f>
        <v>0</v>
      </c>
      <c r="T120" s="9">
        <f t="shared" si="37"/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f t="shared" si="38"/>
        <v>0</v>
      </c>
      <c r="AG120" s="7">
        <f t="shared" si="39"/>
        <v>0</v>
      </c>
    </row>
    <row r="121" spans="1:33" x14ac:dyDescent="0.3">
      <c r="A121" t="s">
        <v>163</v>
      </c>
      <c r="B121" s="1" t="s">
        <v>12</v>
      </c>
      <c r="C121" s="28">
        <v>2100000</v>
      </c>
      <c r="D121" s="28">
        <v>1753000</v>
      </c>
      <c r="E121" s="28">
        <v>1862000</v>
      </c>
      <c r="F121" s="28">
        <v>2276000</v>
      </c>
      <c r="G121" s="28">
        <v>2890000</v>
      </c>
      <c r="H121" s="2">
        <f t="shared" si="40"/>
        <v>10881000</v>
      </c>
      <c r="I121" s="6">
        <f t="shared" si="41"/>
        <v>1.3761904761904762</v>
      </c>
      <c r="J121" t="b">
        <f t="shared" si="34"/>
        <v>0</v>
      </c>
      <c r="K121" s="2">
        <f t="shared" si="35"/>
        <v>2303490</v>
      </c>
      <c r="L121" t="b">
        <f t="shared" si="36"/>
        <v>0</v>
      </c>
      <c r="N121" s="6"/>
      <c r="O121" s="6"/>
      <c r="P121" s="6"/>
      <c r="Q121" s="6"/>
      <c r="R121" s="6"/>
      <c r="S121" s="8" cm="1">
        <f t="array" ref="S121">SUM(N121:R121/5)</f>
        <v>0</v>
      </c>
      <c r="T121" s="9">
        <f t="shared" si="37"/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f t="shared" si="38"/>
        <v>0</v>
      </c>
      <c r="AG121" s="7">
        <f t="shared" si="39"/>
        <v>0</v>
      </c>
    </row>
    <row r="122" spans="1:33" x14ac:dyDescent="0.3">
      <c r="A122" t="s">
        <v>166</v>
      </c>
      <c r="B122" s="1" t="s">
        <v>12</v>
      </c>
      <c r="C122" s="2">
        <v>462000</v>
      </c>
      <c r="D122" s="2">
        <v>561000</v>
      </c>
      <c r="E122" s="2">
        <v>632000</v>
      </c>
      <c r="F122" s="2">
        <v>533000</v>
      </c>
      <c r="G122" s="2">
        <v>405000</v>
      </c>
      <c r="H122" s="2">
        <f t="shared" si="40"/>
        <v>2593000</v>
      </c>
      <c r="I122" s="6">
        <f t="shared" si="41"/>
        <v>0.87662337662337664</v>
      </c>
      <c r="J122" t="b">
        <f t="shared" si="34"/>
        <v>1</v>
      </c>
      <c r="K122" s="2">
        <f t="shared" si="35"/>
        <v>506767.8</v>
      </c>
      <c r="L122" t="b">
        <f t="shared" si="36"/>
        <v>1</v>
      </c>
      <c r="N122" s="6"/>
      <c r="O122" s="6"/>
      <c r="P122" s="6"/>
      <c r="Q122" s="6"/>
      <c r="R122" s="6"/>
      <c r="S122" s="8" cm="1">
        <f t="array" ref="S122">SUM(N122:R122/5)</f>
        <v>0</v>
      </c>
      <c r="T122" s="9">
        <f t="shared" si="37"/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f t="shared" si="38"/>
        <v>0</v>
      </c>
      <c r="AG122" s="7">
        <f t="shared" si="39"/>
        <v>0</v>
      </c>
    </row>
    <row r="123" spans="1:33" x14ac:dyDescent="0.3">
      <c r="A123" t="s">
        <v>168</v>
      </c>
      <c r="B123" s="1" t="s">
        <v>12</v>
      </c>
      <c r="C123" s="2">
        <v>1789000</v>
      </c>
      <c r="D123" s="2">
        <v>1789000</v>
      </c>
      <c r="E123" s="2">
        <v>2289000</v>
      </c>
      <c r="F123" s="2">
        <v>1789000</v>
      </c>
      <c r="G123" s="2">
        <v>1789000</v>
      </c>
      <c r="H123" s="2">
        <f t="shared" si="40"/>
        <v>9445000</v>
      </c>
      <c r="I123" s="6">
        <f t="shared" si="41"/>
        <v>1</v>
      </c>
      <c r="J123" t="b">
        <f t="shared" si="34"/>
        <v>0</v>
      </c>
      <c r="K123" s="2">
        <f t="shared" si="35"/>
        <v>1962354.0999999999</v>
      </c>
      <c r="L123" t="b">
        <f t="shared" si="36"/>
        <v>1</v>
      </c>
      <c r="N123" s="6"/>
      <c r="O123" s="6"/>
      <c r="P123" s="6"/>
      <c r="Q123" s="6"/>
      <c r="R123" s="6"/>
      <c r="S123" s="8" cm="1">
        <f t="array" ref="S123">SUM(N123:R123/5)</f>
        <v>0</v>
      </c>
      <c r="T123" s="9">
        <f t="shared" si="37"/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f t="shared" si="38"/>
        <v>0</v>
      </c>
      <c r="AG123" s="7">
        <f t="shared" si="39"/>
        <v>0</v>
      </c>
    </row>
    <row r="124" spans="1:33" x14ac:dyDescent="0.3">
      <c r="A124" t="s">
        <v>169</v>
      </c>
      <c r="B124" s="1" t="s">
        <v>12</v>
      </c>
      <c r="C124" s="2">
        <v>6229750</v>
      </c>
      <c r="D124" s="2">
        <v>5626000</v>
      </c>
      <c r="E124" s="2">
        <v>4212340</v>
      </c>
      <c r="F124" s="2">
        <v>3981869</v>
      </c>
      <c r="G124" s="2">
        <v>5703250</v>
      </c>
      <c r="H124" s="2">
        <f t="shared" si="40"/>
        <v>25753209</v>
      </c>
      <c r="I124" s="6">
        <f t="shared" si="41"/>
        <v>0.91548617520767284</v>
      </c>
      <c r="J124" t="b">
        <f t="shared" si="34"/>
        <v>1</v>
      </c>
      <c r="K124" s="2">
        <f t="shared" si="35"/>
        <v>6833412.7750000004</v>
      </c>
      <c r="L124" t="b">
        <f t="shared" si="36"/>
        <v>1</v>
      </c>
      <c r="M124" s="7" t="s">
        <v>12</v>
      </c>
      <c r="N124" s="6">
        <v>0.95</v>
      </c>
      <c r="O124" s="6">
        <v>0.95</v>
      </c>
      <c r="P124" s="6">
        <v>0.95</v>
      </c>
      <c r="Q124" s="6">
        <v>0.95</v>
      </c>
      <c r="R124" s="6">
        <v>0.95</v>
      </c>
      <c r="S124" s="8" cm="1">
        <f t="array" ref="S124">SUM(N124:R124/5)</f>
        <v>0.95</v>
      </c>
      <c r="T124" s="9">
        <f t="shared" si="37"/>
        <v>0.95</v>
      </c>
      <c r="U124" t="str">
        <f>IF(IFERROR(T124, 0) &gt; 0, IF(T124&lt;75%,"&lt;75%",IF(T124&lt;90%,"75-90%",IF(T124&lt;100%,"90-99%","100%"))), "")</f>
        <v>90-99%</v>
      </c>
      <c r="V124" s="7">
        <v>755</v>
      </c>
      <c r="W124" s="7">
        <v>1121</v>
      </c>
      <c r="X124" s="7">
        <v>1892</v>
      </c>
      <c r="Y124" s="7">
        <v>1172</v>
      </c>
      <c r="Z124" s="7">
        <v>715</v>
      </c>
      <c r="AA124" s="7">
        <f t="shared" si="38"/>
        <v>5655</v>
      </c>
      <c r="AG124" s="7">
        <f t="shared" si="39"/>
        <v>0</v>
      </c>
    </row>
    <row r="125" spans="1:33" x14ac:dyDescent="0.3">
      <c r="A125" t="s">
        <v>170</v>
      </c>
      <c r="B125" s="1" t="s">
        <v>12</v>
      </c>
      <c r="C125" s="2">
        <v>16846700</v>
      </c>
      <c r="D125" s="2">
        <v>18133400</v>
      </c>
      <c r="E125" s="2">
        <v>22100230</v>
      </c>
      <c r="F125" s="2">
        <v>22230396</v>
      </c>
      <c r="G125" s="2">
        <v>20024000</v>
      </c>
      <c r="H125" s="2">
        <f t="shared" si="40"/>
        <v>99334726</v>
      </c>
      <c r="I125" s="6">
        <f t="shared" si="41"/>
        <v>1.1886007348620204</v>
      </c>
      <c r="J125" t="b">
        <f t="shared" si="34"/>
        <v>0</v>
      </c>
      <c r="K125" s="2">
        <f t="shared" si="35"/>
        <v>18479145.23</v>
      </c>
      <c r="L125" t="b">
        <f t="shared" si="36"/>
        <v>0</v>
      </c>
      <c r="N125" s="6"/>
      <c r="O125" s="6"/>
      <c r="P125" s="6"/>
      <c r="Q125" s="6"/>
      <c r="R125" s="6"/>
      <c r="S125" s="8" cm="1">
        <f t="array" ref="S125">SUM(N125:R125/5)</f>
        <v>0</v>
      </c>
      <c r="T125" s="9">
        <f t="shared" si="37"/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f t="shared" si="38"/>
        <v>0</v>
      </c>
      <c r="AG125" s="7">
        <f t="shared" si="39"/>
        <v>0</v>
      </c>
    </row>
    <row r="126" spans="1:33" x14ac:dyDescent="0.3">
      <c r="A126" t="s">
        <v>171</v>
      </c>
      <c r="B126" s="1" t="s">
        <v>12</v>
      </c>
      <c r="C126" s="2">
        <v>5612502</v>
      </c>
      <c r="D126" s="2">
        <v>5145277</v>
      </c>
      <c r="E126" s="2">
        <v>9675375</v>
      </c>
      <c r="F126" s="2">
        <v>6374563</v>
      </c>
      <c r="G126" s="2">
        <v>6367435</v>
      </c>
      <c r="H126" s="2">
        <f t="shared" si="40"/>
        <v>33175152</v>
      </c>
      <c r="I126" s="6">
        <f t="shared" si="41"/>
        <v>1.1345091725579786</v>
      </c>
      <c r="J126" t="b">
        <f t="shared" si="34"/>
        <v>0</v>
      </c>
      <c r="K126" s="2">
        <f t="shared" si="35"/>
        <v>6156353.4437999995</v>
      </c>
      <c r="L126" t="b">
        <f t="shared" si="36"/>
        <v>0</v>
      </c>
      <c r="M126" s="7" t="s">
        <v>12</v>
      </c>
      <c r="N126" s="6">
        <f>AB126/V126</f>
        <v>0.34184184184184185</v>
      </c>
      <c r="O126" s="6">
        <f>AC126/W126</f>
        <v>0.27194120190229137</v>
      </c>
      <c r="P126" s="6">
        <f>AD126/X126</f>
        <v>0.36291739894551844</v>
      </c>
      <c r="Q126" s="6">
        <f>AE126/Y126</f>
        <v>0.79143897996357016</v>
      </c>
      <c r="R126" s="6">
        <f>AF126/Z126</f>
        <v>0.78547050219405168</v>
      </c>
      <c r="S126" s="8" cm="1">
        <f t="array" ref="S126">SUM(N126:R126/5)</f>
        <v>0.51072198496945465</v>
      </c>
      <c r="T126" s="9">
        <f t="shared" si="37"/>
        <v>0.51072198496945465</v>
      </c>
      <c r="U126" t="str">
        <f>IF(IFERROR(T126, 0) &gt; 0, IF(T126&lt;75%,"&lt;75%",IF(T126&lt;90%,"75-90%",IF(T126&lt;100%,"90-99%","100%"))), "")</f>
        <v>&lt;75%</v>
      </c>
      <c r="V126" s="7">
        <v>1998</v>
      </c>
      <c r="W126" s="7">
        <v>2313</v>
      </c>
      <c r="X126" s="7">
        <v>3414</v>
      </c>
      <c r="Y126" s="7">
        <v>2196</v>
      </c>
      <c r="Z126" s="7">
        <v>2051</v>
      </c>
      <c r="AA126" s="7">
        <f t="shared" si="38"/>
        <v>11972</v>
      </c>
      <c r="AB126">
        <v>683</v>
      </c>
      <c r="AC126">
        <v>629</v>
      </c>
      <c r="AD126">
        <v>1239</v>
      </c>
      <c r="AE126">
        <v>1738</v>
      </c>
      <c r="AF126">
        <v>1611</v>
      </c>
      <c r="AG126" s="7">
        <f t="shared" si="39"/>
        <v>5900</v>
      </c>
    </row>
    <row r="127" spans="1:33" x14ac:dyDescent="0.3">
      <c r="A127" t="s">
        <v>172</v>
      </c>
      <c r="B127" s="1" t="s">
        <v>12</v>
      </c>
      <c r="C127" s="2">
        <f>911000+5464000</f>
        <v>6375000</v>
      </c>
      <c r="D127" s="2">
        <f>1001000+4436000</f>
        <v>5437000</v>
      </c>
      <c r="E127" s="2">
        <f>1030000+5518000</f>
        <v>6548000</v>
      </c>
      <c r="F127" s="2">
        <f>1058000+7364000</f>
        <v>8422000</v>
      </c>
      <c r="G127" s="2">
        <f>1095000+12338000</f>
        <v>13433000</v>
      </c>
      <c r="H127" s="2">
        <f t="shared" si="40"/>
        <v>40215000</v>
      </c>
      <c r="I127" s="6">
        <f t="shared" si="41"/>
        <v>2.1071372549019607</v>
      </c>
      <c r="J127" t="b">
        <f t="shared" si="34"/>
        <v>0</v>
      </c>
      <c r="K127" s="2">
        <f t="shared" si="35"/>
        <v>6992737.5</v>
      </c>
      <c r="L127" t="b">
        <f t="shared" si="36"/>
        <v>0</v>
      </c>
      <c r="N127" s="6"/>
      <c r="O127" s="6"/>
      <c r="P127" s="6"/>
      <c r="Q127" s="6"/>
      <c r="R127" s="6"/>
      <c r="S127" s="8" cm="1">
        <f t="array" ref="S127">SUM(N127:R127/5)</f>
        <v>0</v>
      </c>
      <c r="T127" s="9">
        <f t="shared" si="37"/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f t="shared" si="38"/>
        <v>0</v>
      </c>
      <c r="AG127" s="7">
        <f t="shared" si="39"/>
        <v>0</v>
      </c>
    </row>
    <row r="128" spans="1:33" x14ac:dyDescent="0.3">
      <c r="A128" t="s">
        <v>173</v>
      </c>
      <c r="B128" s="1"/>
      <c r="I128" s="6"/>
      <c r="J128" t="b">
        <f t="shared" si="34"/>
        <v>0</v>
      </c>
      <c r="K128" s="2">
        <f t="shared" si="35"/>
        <v>0</v>
      </c>
      <c r="L128" t="b">
        <f t="shared" si="36"/>
        <v>0</v>
      </c>
      <c r="M128" s="7" t="s">
        <v>12</v>
      </c>
      <c r="N128" s="6">
        <f>(0.9419+0.9319)/2</f>
        <v>0.93689999999999996</v>
      </c>
      <c r="O128" s="6">
        <f>(0.7955+0.7757)/2</f>
        <v>0.78559999999999997</v>
      </c>
      <c r="P128" s="6">
        <f>(0.7982+0.8565)/2</f>
        <v>0.82735000000000003</v>
      </c>
      <c r="Q128" s="6">
        <f>(0.854+0.8269)/2</f>
        <v>0.84044999999999992</v>
      </c>
      <c r="R128" s="6"/>
      <c r="S128" s="8" cm="1">
        <f t="array" ref="S128">SUM(N128:R128/4)</f>
        <v>0.84757499999999997</v>
      </c>
      <c r="T128" s="9">
        <f t="shared" si="37"/>
        <v>0.84757499999999997</v>
      </c>
      <c r="U128" t="str">
        <f>IF(IFERROR(T128, 0) &gt; 0, IF(T128&lt;75%,"&lt;75%",IF(T128&lt;90%,"75-90%",IF(T128&lt;100%,"90-99%","100%"))), "")</f>
        <v>75-90%</v>
      </c>
      <c r="V128" s="7">
        <v>6125</v>
      </c>
      <c r="W128" s="7">
        <v>4645</v>
      </c>
      <c r="X128" s="7">
        <v>6046</v>
      </c>
      <c r="Y128" s="7">
        <v>5243</v>
      </c>
      <c r="Z128" s="7">
        <v>4943</v>
      </c>
      <c r="AA128" s="7">
        <f t="shared" si="38"/>
        <v>27002</v>
      </c>
      <c r="AG128" s="7">
        <f t="shared" si="39"/>
        <v>0</v>
      </c>
    </row>
    <row r="129" spans="1:33" x14ac:dyDescent="0.3">
      <c r="A129" t="s">
        <v>174</v>
      </c>
      <c r="B129" s="1" t="s">
        <v>12</v>
      </c>
      <c r="C129" s="2">
        <v>5002200</v>
      </c>
      <c r="D129" s="2">
        <v>5280153</v>
      </c>
      <c r="E129" s="2">
        <v>5860640</v>
      </c>
      <c r="F129" s="2">
        <v>5183063</v>
      </c>
      <c r="G129" s="2">
        <v>7225890</v>
      </c>
      <c r="H129" s="2">
        <f>SUM(C129:G129)</f>
        <v>28551946</v>
      </c>
      <c r="I129" s="6">
        <f>G129/C129</f>
        <v>1.4445424013434089</v>
      </c>
      <c r="J129" t="b">
        <f t="shared" si="34"/>
        <v>0</v>
      </c>
      <c r="K129" s="2">
        <f t="shared" si="35"/>
        <v>5486913.1799999997</v>
      </c>
      <c r="L129" t="b">
        <f t="shared" si="36"/>
        <v>0</v>
      </c>
      <c r="N129" s="6"/>
      <c r="O129" s="6"/>
      <c r="P129" s="6"/>
      <c r="Q129" s="6"/>
      <c r="R129" s="6"/>
      <c r="S129" s="8" cm="1">
        <f t="array" ref="S129">SUM(N129:R129/5)</f>
        <v>0</v>
      </c>
      <c r="T129" s="9">
        <f t="shared" si="37"/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f t="shared" si="38"/>
        <v>0</v>
      </c>
      <c r="AG129" s="7">
        <f t="shared" si="39"/>
        <v>0</v>
      </c>
    </row>
    <row r="130" spans="1:33" x14ac:dyDescent="0.3">
      <c r="A130" t="s">
        <v>175</v>
      </c>
      <c r="B130" s="1" t="s">
        <v>12</v>
      </c>
      <c r="C130" s="28">
        <v>8345000</v>
      </c>
      <c r="D130" s="28">
        <v>15047200</v>
      </c>
      <c r="E130" s="28">
        <v>21021000</v>
      </c>
      <c r="F130" s="28">
        <v>11387000</v>
      </c>
      <c r="G130" s="28">
        <v>12175000</v>
      </c>
      <c r="H130" s="2">
        <f>SUM(C130:G130)</f>
        <v>67975200</v>
      </c>
      <c r="I130" s="6">
        <f>G130/C130</f>
        <v>1.4589574595566208</v>
      </c>
      <c r="J130" t="b">
        <f t="shared" si="34"/>
        <v>0</v>
      </c>
      <c r="K130" s="2">
        <f t="shared" si="35"/>
        <v>9153630.5</v>
      </c>
      <c r="L130" t="b">
        <f t="shared" si="36"/>
        <v>0</v>
      </c>
      <c r="M130" s="7" t="s">
        <v>12</v>
      </c>
      <c r="N130" s="6">
        <f>AB130/V130</f>
        <v>0.99034205231388328</v>
      </c>
      <c r="O130" s="6">
        <f>AC130/W130</f>
        <v>0.9851923076923077</v>
      </c>
      <c r="P130" s="6">
        <f>AD130/X130</f>
        <v>0.98516147803316845</v>
      </c>
      <c r="Q130" s="6">
        <f>AE130/Y130</f>
        <v>0.98431105047748979</v>
      </c>
      <c r="R130">
        <f>AF130/Z130</f>
        <v>0</v>
      </c>
      <c r="S130" s="8" cm="1">
        <f t="array" ref="S130">SUM(N130:R130/4)</f>
        <v>0.9862517221292123</v>
      </c>
      <c r="T130" s="9">
        <f t="shared" si="37"/>
        <v>0.9862517221292123</v>
      </c>
      <c r="U130" t="str">
        <f>IF(IFERROR(T130, 0) &gt; 0, IF(T130&lt;75%,"&lt;75%",IF(T130&lt;90%,"75-90%",IF(T130&lt;100%,"90-99%","100%"))), "")</f>
        <v>90-99%</v>
      </c>
      <c r="V130" s="7">
        <v>4970</v>
      </c>
      <c r="W130" s="7">
        <v>5200</v>
      </c>
      <c r="X130" s="7">
        <v>3437</v>
      </c>
      <c r="Y130" s="7">
        <v>2932</v>
      </c>
      <c r="Z130" s="7">
        <v>2234</v>
      </c>
      <c r="AA130" s="7">
        <f t="shared" si="38"/>
        <v>18773</v>
      </c>
      <c r="AB130">
        <v>4922</v>
      </c>
      <c r="AC130">
        <v>5123</v>
      </c>
      <c r="AD130">
        <v>3386</v>
      </c>
      <c r="AE130">
        <v>2886</v>
      </c>
      <c r="AG130" s="7">
        <f t="shared" si="39"/>
        <v>16317</v>
      </c>
    </row>
    <row r="131" spans="1:33" x14ac:dyDescent="0.3">
      <c r="A131" t="s">
        <v>178</v>
      </c>
      <c r="B131" s="1" t="s">
        <v>12</v>
      </c>
      <c r="C131" s="2">
        <v>1411858</v>
      </c>
      <c r="D131" s="2">
        <v>1223591</v>
      </c>
      <c r="E131" s="2">
        <v>1079692</v>
      </c>
      <c r="F131" s="2">
        <v>910696</v>
      </c>
      <c r="G131" s="2">
        <v>932424</v>
      </c>
      <c r="H131" s="2">
        <f>SUM(C131:G131)</f>
        <v>5558261</v>
      </c>
      <c r="I131" s="6">
        <f>G131/C131</f>
        <v>0.66042335702315669</v>
      </c>
      <c r="J131" t="b">
        <f t="shared" si="34"/>
        <v>1</v>
      </c>
      <c r="K131" s="2">
        <f t="shared" si="35"/>
        <v>1548667.0401999999</v>
      </c>
      <c r="L131" t="b">
        <f t="shared" si="36"/>
        <v>1</v>
      </c>
      <c r="N131" s="6"/>
      <c r="O131" s="6"/>
      <c r="P131" s="6"/>
      <c r="Q131" s="6"/>
      <c r="R131" s="6"/>
      <c r="S131" s="8" cm="1">
        <f t="array" ref="S131">SUM(N131:R131/5)</f>
        <v>0</v>
      </c>
      <c r="T131" s="9">
        <f t="shared" si="37"/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f t="shared" si="38"/>
        <v>0</v>
      </c>
      <c r="AG131" s="7">
        <f t="shared" si="39"/>
        <v>0</v>
      </c>
    </row>
    <row r="132" spans="1:33" x14ac:dyDescent="0.3">
      <c r="A132" t="s">
        <v>179</v>
      </c>
      <c r="B132" s="1"/>
      <c r="C132" s="2"/>
      <c r="D132" s="2"/>
      <c r="E132" s="2"/>
      <c r="F132" s="2"/>
      <c r="G132" s="2"/>
      <c r="H132" s="2"/>
      <c r="I132" s="6"/>
      <c r="J132" t="b">
        <f t="shared" si="34"/>
        <v>0</v>
      </c>
      <c r="K132" s="2">
        <f t="shared" si="35"/>
        <v>0</v>
      </c>
      <c r="L132" t="b">
        <f t="shared" si="36"/>
        <v>0</v>
      </c>
      <c r="M132" s="7" t="s">
        <v>12</v>
      </c>
      <c r="N132" s="6">
        <f>AB132/V132</f>
        <v>0.56457888791263966</v>
      </c>
      <c r="O132" s="6">
        <f>AC132/W132</f>
        <v>0.44348407676081703</v>
      </c>
      <c r="P132" s="6">
        <f>AD132/X132</f>
        <v>0.53246513346263968</v>
      </c>
      <c r="Q132" s="6">
        <f>AE132/Y132</f>
        <v>0.47016939420040194</v>
      </c>
      <c r="R132" s="6">
        <f>AF132/Z132</f>
        <v>0.47797529376318171</v>
      </c>
      <c r="S132" s="8" cm="1">
        <f t="array" ref="S132">SUM(N132:R132/5)</f>
        <v>0.49773455721993604</v>
      </c>
      <c r="T132" s="9">
        <f t="shared" si="37"/>
        <v>0.49773455721993604</v>
      </c>
      <c r="U132" t="str">
        <f>IF(IFERROR(T132, 0) &gt; 0, IF(T132&lt;75%,"&lt;75%",IF(T132&lt;90%,"75-90%",IF(T132&lt;100%,"90-99%","100%"))), "")</f>
        <v>&lt;75%</v>
      </c>
      <c r="V132" s="7">
        <v>15934</v>
      </c>
      <c r="W132" s="7">
        <v>19437</v>
      </c>
      <c r="X132" s="7">
        <v>21654</v>
      </c>
      <c r="Y132" s="7">
        <v>17415</v>
      </c>
      <c r="Z132" s="7">
        <v>16595</v>
      </c>
      <c r="AA132" s="7">
        <f t="shared" si="38"/>
        <v>91035</v>
      </c>
      <c r="AB132">
        <v>8996</v>
      </c>
      <c r="AC132">
        <v>8620</v>
      </c>
      <c r="AD132">
        <v>11530</v>
      </c>
      <c r="AE132">
        <v>8188</v>
      </c>
      <c r="AF132">
        <v>7932</v>
      </c>
      <c r="AG132" s="7">
        <f t="shared" si="39"/>
        <v>45266</v>
      </c>
    </row>
    <row r="133" spans="1:33" x14ac:dyDescent="0.3">
      <c r="A133" t="s">
        <v>180</v>
      </c>
      <c r="B133" s="1" t="s">
        <v>12</v>
      </c>
      <c r="C133" s="28">
        <v>2704000</v>
      </c>
      <c r="D133" s="28">
        <v>1736750</v>
      </c>
      <c r="E133" s="28">
        <v>1627180</v>
      </c>
      <c r="F133" s="28">
        <v>1403720</v>
      </c>
      <c r="G133" s="28">
        <v>1416900</v>
      </c>
      <c r="H133" s="2">
        <f>SUM(C133:G133)</f>
        <v>8888550</v>
      </c>
      <c r="I133" s="6">
        <f>G133/C133</f>
        <v>0.52400147928994079</v>
      </c>
      <c r="J133" t="b">
        <f t="shared" ref="J133:J161" si="42">IF(G133&lt;C133, TRUE, FALSE)</f>
        <v>1</v>
      </c>
      <c r="K133" s="2">
        <f t="shared" ref="K133:K161" si="43">C133*1.0969</f>
        <v>2966017.6</v>
      </c>
      <c r="L133" t="b">
        <f t="shared" ref="L133:L161" si="44">IF(G133&lt;K133, TRUE, FALSE)</f>
        <v>1</v>
      </c>
      <c r="N133" s="6"/>
      <c r="O133" s="6"/>
      <c r="P133" s="6"/>
      <c r="Q133" s="6"/>
      <c r="R133" s="6"/>
      <c r="S133" s="8" cm="1">
        <f t="array" ref="S133">SUM(N133:R133/5)</f>
        <v>0</v>
      </c>
      <c r="T133" s="9">
        <f t="shared" ref="T133:T161" si="45">S133</f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f t="shared" si="38"/>
        <v>0</v>
      </c>
      <c r="AG133" s="7">
        <f t="shared" si="39"/>
        <v>0</v>
      </c>
    </row>
    <row r="134" spans="1:33" x14ac:dyDescent="0.3">
      <c r="A134" t="s">
        <v>181</v>
      </c>
      <c r="B134" s="1" t="s">
        <v>12</v>
      </c>
      <c r="C134" s="2">
        <v>17708</v>
      </c>
      <c r="D134" s="2">
        <v>14305</v>
      </c>
      <c r="E134" s="2">
        <v>14796</v>
      </c>
      <c r="F134" s="2">
        <v>14193</v>
      </c>
      <c r="G134" s="2">
        <v>12851</v>
      </c>
      <c r="H134" s="2">
        <f>SUM(C134:G134)</f>
        <v>73853</v>
      </c>
      <c r="I134" s="6">
        <f>G134/C134</f>
        <v>0.72571718997063472</v>
      </c>
      <c r="J134" t="b">
        <f t="shared" si="42"/>
        <v>1</v>
      </c>
      <c r="K134" s="2">
        <f t="shared" si="43"/>
        <v>19423.905200000001</v>
      </c>
      <c r="L134" t="b">
        <f t="shared" si="44"/>
        <v>1</v>
      </c>
      <c r="N134" s="6"/>
      <c r="O134" s="6"/>
      <c r="P134" s="6"/>
      <c r="Q134" s="6"/>
      <c r="R134" s="6"/>
      <c r="S134" s="8" cm="1">
        <f t="array" ref="S134">SUM(N134:R134/5)</f>
        <v>0</v>
      </c>
      <c r="T134" s="9">
        <f t="shared" si="45"/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f t="shared" si="38"/>
        <v>0</v>
      </c>
      <c r="AG134" s="7">
        <f t="shared" si="39"/>
        <v>0</v>
      </c>
    </row>
    <row r="135" spans="1:33" x14ac:dyDescent="0.3">
      <c r="A135" t="s">
        <v>183</v>
      </c>
      <c r="B135" s="1" t="s">
        <v>12</v>
      </c>
      <c r="C135" s="2">
        <v>1160300</v>
      </c>
      <c r="D135" s="2">
        <v>1088700</v>
      </c>
      <c r="E135" s="2">
        <v>1216300</v>
      </c>
      <c r="F135" s="2">
        <v>1512200</v>
      </c>
      <c r="G135" s="2">
        <v>1360500</v>
      </c>
      <c r="H135" s="2">
        <f>SUM(C135:G135)</f>
        <v>6338000</v>
      </c>
      <c r="I135" s="6">
        <f>G135/C135</f>
        <v>1.1725415840730846</v>
      </c>
      <c r="J135" t="b">
        <f t="shared" si="42"/>
        <v>0</v>
      </c>
      <c r="K135" s="2">
        <f t="shared" si="43"/>
        <v>1272733.07</v>
      </c>
      <c r="L135" t="b">
        <f t="shared" si="44"/>
        <v>0</v>
      </c>
      <c r="N135" s="6"/>
      <c r="O135" s="6"/>
      <c r="P135" s="6"/>
      <c r="Q135" s="6"/>
      <c r="R135" s="6"/>
      <c r="S135" s="8" cm="1">
        <f t="array" ref="S135">SUM(N135:R135/5)</f>
        <v>0</v>
      </c>
      <c r="T135" s="9">
        <f t="shared" si="45"/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f t="shared" si="38"/>
        <v>0</v>
      </c>
      <c r="AG135" s="7">
        <f t="shared" si="39"/>
        <v>0</v>
      </c>
    </row>
    <row r="136" spans="1:33" x14ac:dyDescent="0.3">
      <c r="A136" t="s">
        <v>184</v>
      </c>
      <c r="B136" s="1" t="s">
        <v>12</v>
      </c>
      <c r="C136" s="2">
        <v>2975000</v>
      </c>
      <c r="D136" s="2">
        <v>4303000</v>
      </c>
      <c r="E136" s="2">
        <v>4050000</v>
      </c>
      <c r="F136" s="2">
        <v>4613000</v>
      </c>
      <c r="G136" s="2">
        <v>4876000</v>
      </c>
      <c r="H136" s="2">
        <f>SUM(C136:G136)</f>
        <v>20817000</v>
      </c>
      <c r="I136" s="6">
        <f>G136/C136</f>
        <v>1.6389915966386555</v>
      </c>
      <c r="J136" t="b">
        <f t="shared" si="42"/>
        <v>0</v>
      </c>
      <c r="K136" s="2">
        <f t="shared" si="43"/>
        <v>3263277.5</v>
      </c>
      <c r="L136" t="b">
        <f t="shared" si="44"/>
        <v>0</v>
      </c>
      <c r="M136" s="7" t="s">
        <v>12</v>
      </c>
      <c r="N136" s="6">
        <v>0.8417</v>
      </c>
      <c r="O136" s="6">
        <v>0.88939999999999997</v>
      </c>
      <c r="P136" s="6">
        <v>0.80579999999999996</v>
      </c>
      <c r="Q136" s="6">
        <v>0.9536</v>
      </c>
      <c r="R136" s="6">
        <v>0.98380000000000001</v>
      </c>
      <c r="S136" s="8">
        <f>SUM(N136:R136)/5</f>
        <v>0.89485999999999988</v>
      </c>
      <c r="T136" s="9">
        <f t="shared" si="45"/>
        <v>0.89485999999999988</v>
      </c>
      <c r="U136" t="str">
        <f>IF(IFERROR(T136, 0) &gt; 0, IF(T136&lt;75%,"&lt;75%",IF(T136&lt;90%,"75-90%",IF(T136&lt;100%,"90-99%","100%"))), "")</f>
        <v>75-90%</v>
      </c>
      <c r="V136" s="7">
        <v>7128</v>
      </c>
      <c r="W136" s="7">
        <v>7342</v>
      </c>
      <c r="X136" s="7">
        <v>12332</v>
      </c>
      <c r="Y136" s="7">
        <v>10387</v>
      </c>
      <c r="Z136" s="29">
        <v>12321</v>
      </c>
      <c r="AA136" s="7">
        <f t="shared" si="38"/>
        <v>49510</v>
      </c>
      <c r="AG136" s="7">
        <f t="shared" si="39"/>
        <v>0</v>
      </c>
    </row>
    <row r="137" spans="1:33" x14ac:dyDescent="0.3">
      <c r="A137" t="s">
        <v>185</v>
      </c>
      <c r="B137" s="1" t="s">
        <v>12</v>
      </c>
      <c r="C137" s="2">
        <v>6501000</v>
      </c>
      <c r="D137" s="2">
        <v>6803000</v>
      </c>
      <c r="E137" s="2">
        <v>7079000</v>
      </c>
      <c r="F137" s="2">
        <v>7276000</v>
      </c>
      <c r="G137" s="2">
        <v>5505000</v>
      </c>
      <c r="H137" s="2">
        <f>SUM(C137:G137)</f>
        <v>33164000</v>
      </c>
      <c r="I137" s="6">
        <f>G137/C137</f>
        <v>0.84679280110752186</v>
      </c>
      <c r="J137" t="b">
        <f t="shared" si="42"/>
        <v>1</v>
      </c>
      <c r="K137" s="2">
        <f t="shared" si="43"/>
        <v>7130946.9000000004</v>
      </c>
      <c r="L137" t="b">
        <f t="shared" si="44"/>
        <v>1</v>
      </c>
      <c r="M137" s="7" t="s">
        <v>12</v>
      </c>
      <c r="N137" s="6"/>
      <c r="O137" s="6"/>
      <c r="P137" s="6">
        <v>0.97240000000000004</v>
      </c>
      <c r="Q137" s="6">
        <v>0.97740000000000005</v>
      </c>
      <c r="R137" s="6">
        <v>0.97860000000000003</v>
      </c>
      <c r="S137" s="8">
        <f>SUM(N137:R137)/3</f>
        <v>0.97613333333333341</v>
      </c>
      <c r="T137" s="9">
        <f t="shared" si="45"/>
        <v>0.97613333333333341</v>
      </c>
      <c r="U137" t="str">
        <f>IF(IFERROR(T137, 0) &gt; 0, IF(T137&lt;75%,"&lt;75%",IF(T137&lt;90%,"75-90%",IF(T137&lt;100%,"90-99%","100%"))), "")</f>
        <v>90-99%</v>
      </c>
      <c r="V137" s="7">
        <v>5974</v>
      </c>
      <c r="W137" s="7">
        <v>7220</v>
      </c>
      <c r="X137" s="7">
        <v>10063</v>
      </c>
      <c r="Y137" s="7">
        <v>8332</v>
      </c>
      <c r="Z137" s="7">
        <v>5792</v>
      </c>
      <c r="AA137" s="7">
        <f t="shared" si="38"/>
        <v>37381</v>
      </c>
      <c r="AG137" s="7">
        <f t="shared" si="39"/>
        <v>0</v>
      </c>
    </row>
    <row r="138" spans="1:33" x14ac:dyDescent="0.3">
      <c r="A138" t="s">
        <v>186</v>
      </c>
      <c r="B138" s="1"/>
      <c r="C138" s="28"/>
      <c r="D138" s="28"/>
      <c r="E138" s="28"/>
      <c r="F138" s="28"/>
      <c r="G138" s="28"/>
      <c r="H138" s="2"/>
      <c r="I138" s="6"/>
      <c r="J138" t="b">
        <f t="shared" si="42"/>
        <v>0</v>
      </c>
      <c r="K138" s="2">
        <f t="shared" si="43"/>
        <v>0</v>
      </c>
      <c r="L138" t="b">
        <f t="shared" si="44"/>
        <v>0</v>
      </c>
      <c r="N138" s="6"/>
      <c r="O138" s="6"/>
      <c r="P138" s="6"/>
      <c r="Q138" s="6"/>
      <c r="R138" s="6"/>
      <c r="S138" s="8" cm="1">
        <f t="array" ref="S138">SUM(N138:R138/5)</f>
        <v>0</v>
      </c>
      <c r="T138" s="9">
        <f t="shared" si="45"/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f t="shared" si="38"/>
        <v>0</v>
      </c>
      <c r="AG138" s="7">
        <f t="shared" si="39"/>
        <v>0</v>
      </c>
    </row>
    <row r="139" spans="1:33" x14ac:dyDescent="0.3">
      <c r="A139" t="s">
        <v>187</v>
      </c>
      <c r="B139" s="1" t="s">
        <v>12</v>
      </c>
      <c r="C139" s="2">
        <v>956748</v>
      </c>
      <c r="D139" s="2">
        <v>970134</v>
      </c>
      <c r="E139" s="2">
        <v>1010885</v>
      </c>
      <c r="F139" s="2">
        <v>1030600</v>
      </c>
      <c r="G139" s="2">
        <v>1048200</v>
      </c>
      <c r="H139" s="2">
        <f>SUM(C139:G139)</f>
        <v>5016567</v>
      </c>
      <c r="I139" s="6">
        <f>G139/C139</f>
        <v>1.0955862985864617</v>
      </c>
      <c r="J139" t="b">
        <f t="shared" si="42"/>
        <v>0</v>
      </c>
      <c r="K139" s="2">
        <f t="shared" si="43"/>
        <v>1049456.8811999999</v>
      </c>
      <c r="L139" t="b">
        <f t="shared" si="44"/>
        <v>1</v>
      </c>
      <c r="N139" s="6"/>
      <c r="O139" s="6"/>
      <c r="P139" s="6"/>
      <c r="Q139" s="6"/>
      <c r="R139" s="6"/>
      <c r="S139" s="8" cm="1">
        <f t="array" ref="S139">SUM(N139:R139/5)</f>
        <v>0</v>
      </c>
      <c r="T139" s="9">
        <f t="shared" si="45"/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f t="shared" si="38"/>
        <v>0</v>
      </c>
      <c r="AG139" s="7">
        <f t="shared" si="39"/>
        <v>0</v>
      </c>
    </row>
    <row r="140" spans="1:33" x14ac:dyDescent="0.3">
      <c r="A140" t="s">
        <v>189</v>
      </c>
      <c r="B140" s="1" t="s">
        <v>12</v>
      </c>
      <c r="C140" s="28">
        <v>2185600</v>
      </c>
      <c r="D140" s="28">
        <v>2293900</v>
      </c>
      <c r="E140" s="28">
        <v>2046000</v>
      </c>
      <c r="F140" s="28">
        <v>1824300</v>
      </c>
      <c r="G140" s="28">
        <v>1655800</v>
      </c>
      <c r="H140" s="2">
        <f>SUM(C140:G140)</f>
        <v>10005600</v>
      </c>
      <c r="I140" s="6">
        <f>G140/C140</f>
        <v>0.757595168374817</v>
      </c>
      <c r="J140" t="b">
        <f t="shared" si="42"/>
        <v>1</v>
      </c>
      <c r="K140" s="2">
        <f t="shared" si="43"/>
        <v>2397384.64</v>
      </c>
      <c r="L140" t="b">
        <f t="shared" si="44"/>
        <v>1</v>
      </c>
      <c r="M140" s="7" t="s">
        <v>12</v>
      </c>
      <c r="N140" s="6">
        <f>AB140/V140</f>
        <v>0.59814222628292979</v>
      </c>
      <c r="O140" s="6">
        <f>AC140/W140</f>
        <v>0.82760834670947026</v>
      </c>
      <c r="P140" s="6">
        <f>AD140/X140</f>
        <v>0.75837659273242097</v>
      </c>
      <c r="Q140" s="6">
        <f>AE140/Y140</f>
        <v>0.75190258751902583</v>
      </c>
      <c r="R140" s="6">
        <f>AF140/Z140</f>
        <v>0.57631482162559766</v>
      </c>
      <c r="S140" s="8" cm="1">
        <f t="array" ref="S140">SUM(N140:R140/5)</f>
        <v>0.70246891497388886</v>
      </c>
      <c r="T140" s="9">
        <f t="shared" si="45"/>
        <v>0.70246891497388886</v>
      </c>
      <c r="U140" t="str">
        <f>IF(IFERROR(T140, 0) &gt; 0, IF(T140&lt;75%,"&lt;75%",IF(T140&lt;90%,"75-90%",IF(T140&lt;100%,"90-99%","100%"))), "")</f>
        <v>&lt;75%</v>
      </c>
      <c r="V140" s="7">
        <v>6567</v>
      </c>
      <c r="W140" s="7">
        <v>6230</v>
      </c>
      <c r="X140" s="7">
        <v>6357</v>
      </c>
      <c r="Y140" s="7">
        <v>5256</v>
      </c>
      <c r="Z140" s="7">
        <v>5438</v>
      </c>
      <c r="AA140" s="7">
        <f t="shared" si="38"/>
        <v>29848</v>
      </c>
      <c r="AB140">
        <v>3928</v>
      </c>
      <c r="AC140">
        <v>5156</v>
      </c>
      <c r="AD140">
        <v>4821</v>
      </c>
      <c r="AE140">
        <v>3952</v>
      </c>
      <c r="AF140">
        <v>3134</v>
      </c>
      <c r="AG140" s="7">
        <f t="shared" si="39"/>
        <v>20991</v>
      </c>
    </row>
    <row r="141" spans="1:33" x14ac:dyDescent="0.3">
      <c r="A141" t="s">
        <v>190</v>
      </c>
      <c r="B141" s="1" t="s">
        <v>12</v>
      </c>
      <c r="C141" s="2">
        <v>960000</v>
      </c>
      <c r="D141" s="2">
        <v>857000</v>
      </c>
      <c r="E141" s="2">
        <v>1000000</v>
      </c>
      <c r="F141" s="2">
        <v>1273000</v>
      </c>
      <c r="G141" s="2">
        <v>2000000</v>
      </c>
      <c r="H141" s="2">
        <f>SUM(C141:G141)</f>
        <v>6090000</v>
      </c>
      <c r="I141" s="6">
        <f>G141/C141</f>
        <v>2.0833333333333335</v>
      </c>
      <c r="J141" t="b">
        <f t="shared" si="42"/>
        <v>0</v>
      </c>
      <c r="K141" s="2">
        <f t="shared" si="43"/>
        <v>1053024</v>
      </c>
      <c r="L141" t="b">
        <f t="shared" si="44"/>
        <v>0</v>
      </c>
      <c r="N141" s="6"/>
      <c r="O141" s="6"/>
      <c r="P141" s="6"/>
      <c r="Q141" s="6"/>
      <c r="R141" s="6"/>
      <c r="S141" s="8" cm="1">
        <f t="array" ref="S141">SUM(N141:R141/5)</f>
        <v>0</v>
      </c>
      <c r="T141" s="9">
        <f t="shared" si="45"/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f t="shared" si="38"/>
        <v>0</v>
      </c>
      <c r="AG141" s="7">
        <f t="shared" si="39"/>
        <v>0</v>
      </c>
    </row>
    <row r="142" spans="1:33" x14ac:dyDescent="0.3">
      <c r="A142" t="s">
        <v>191</v>
      </c>
      <c r="B142" s="1" t="s">
        <v>12</v>
      </c>
      <c r="C142" s="2">
        <v>4934837</v>
      </c>
      <c r="D142" s="2">
        <v>3986977</v>
      </c>
      <c r="E142" s="2">
        <v>6145755</v>
      </c>
      <c r="F142" s="2">
        <v>7003962</v>
      </c>
      <c r="G142" s="2">
        <v>6590096</v>
      </c>
      <c r="H142" s="2">
        <f>SUM(C142:G142)</f>
        <v>28661627</v>
      </c>
      <c r="I142" s="6">
        <f>G142/C142</f>
        <v>1.3354232368769221</v>
      </c>
      <c r="J142" t="b">
        <f t="shared" si="42"/>
        <v>0</v>
      </c>
      <c r="K142" s="2">
        <f t="shared" si="43"/>
        <v>5413022.7052999996</v>
      </c>
      <c r="L142" t="b">
        <f t="shared" si="44"/>
        <v>0</v>
      </c>
      <c r="M142" s="7" t="s">
        <v>12</v>
      </c>
      <c r="N142" s="6">
        <v>0.81789999999999996</v>
      </c>
      <c r="O142" s="6">
        <v>0.57389999999999997</v>
      </c>
      <c r="P142" s="6">
        <v>0.3921</v>
      </c>
      <c r="Q142" s="6">
        <v>0.97599999999999998</v>
      </c>
      <c r="R142" s="6">
        <v>0.88280000000000003</v>
      </c>
      <c r="S142" s="8" cm="1">
        <f t="array" ref="S142">SUM(N142:R142/5)</f>
        <v>0.72853999999999997</v>
      </c>
      <c r="T142" s="9">
        <f t="shared" si="45"/>
        <v>0.72853999999999997</v>
      </c>
      <c r="U142" t="str">
        <f>IF(IFERROR(T142, 0) &gt; 0, IF(T142&lt;75%,"&lt;75%",IF(T142&lt;90%,"75-90%",IF(T142&lt;100%,"90-99%","100%"))), "")</f>
        <v>&lt;75%</v>
      </c>
      <c r="V142" s="7">
        <v>4437</v>
      </c>
      <c r="W142" s="7">
        <v>2858</v>
      </c>
      <c r="X142" s="7">
        <v>4510</v>
      </c>
      <c r="Y142" s="7">
        <v>923</v>
      </c>
      <c r="Z142" s="7">
        <v>4377</v>
      </c>
      <c r="AA142" s="7">
        <f t="shared" si="38"/>
        <v>17105</v>
      </c>
      <c r="AG142" s="7">
        <f t="shared" si="39"/>
        <v>0</v>
      </c>
    </row>
    <row r="143" spans="1:33" x14ac:dyDescent="0.3">
      <c r="A143" t="s">
        <v>193</v>
      </c>
      <c r="B143" s="1" t="s">
        <v>12</v>
      </c>
      <c r="C143" s="28">
        <v>1632000</v>
      </c>
      <c r="D143" s="28">
        <v>1259400</v>
      </c>
      <c r="E143" s="28">
        <v>1169300</v>
      </c>
      <c r="F143" s="28">
        <v>1132400</v>
      </c>
      <c r="G143" s="28">
        <v>1176100</v>
      </c>
      <c r="H143" s="2">
        <f>SUM(C143:G143)</f>
        <v>6369200</v>
      </c>
      <c r="I143" s="6">
        <f>G143/C143</f>
        <v>0.72064950980392162</v>
      </c>
      <c r="J143" t="b">
        <f t="shared" si="42"/>
        <v>1</v>
      </c>
      <c r="K143" s="2">
        <f t="shared" si="43"/>
        <v>1790140.8</v>
      </c>
      <c r="L143" t="b">
        <f t="shared" si="44"/>
        <v>1</v>
      </c>
      <c r="M143" s="7" t="s">
        <v>12</v>
      </c>
      <c r="N143" s="6">
        <f t="shared" ref="N143:R144" si="46">AB143/V143</f>
        <v>0.81508704061895554</v>
      </c>
      <c r="O143" s="6">
        <f t="shared" si="46"/>
        <v>0.71093981618737034</v>
      </c>
      <c r="P143" s="6">
        <f t="shared" si="46"/>
        <v>0.74647435897435899</v>
      </c>
      <c r="Q143" s="6">
        <f t="shared" si="46"/>
        <v>0.70859461453338246</v>
      </c>
      <c r="R143" s="6">
        <f t="shared" si="46"/>
        <v>0.48649754500818332</v>
      </c>
      <c r="S143" s="8" cm="1">
        <f t="array" ref="S143">SUM(N143:R143/5)</f>
        <v>0.6935186750644502</v>
      </c>
      <c r="T143" s="9">
        <f t="shared" si="45"/>
        <v>0.6935186750644502</v>
      </c>
      <c r="U143" t="str">
        <f>IF(IFERROR(T143, 0) &gt; 0, IF(T143&lt;75%,"&lt;75%",IF(T143&lt;90%,"75-90%",IF(T143&lt;100%,"90-99%","100%"))), "")</f>
        <v>&lt;75%</v>
      </c>
      <c r="V143" s="7">
        <v>2585</v>
      </c>
      <c r="W143" s="7">
        <v>3373</v>
      </c>
      <c r="X143" s="7">
        <v>3120</v>
      </c>
      <c r="Y143" s="7">
        <v>2711</v>
      </c>
      <c r="Z143" s="7">
        <v>2444</v>
      </c>
      <c r="AA143" s="7">
        <f t="shared" si="38"/>
        <v>14233</v>
      </c>
      <c r="AB143">
        <v>2107</v>
      </c>
      <c r="AC143">
        <v>2398</v>
      </c>
      <c r="AD143">
        <v>2329</v>
      </c>
      <c r="AE143">
        <v>1921</v>
      </c>
      <c r="AF143">
        <v>1189</v>
      </c>
      <c r="AG143" s="7">
        <f t="shared" si="39"/>
        <v>9944</v>
      </c>
    </row>
    <row r="144" spans="1:33" x14ac:dyDescent="0.3">
      <c r="A144" t="s">
        <v>194</v>
      </c>
      <c r="B144" s="1"/>
      <c r="C144" s="2"/>
      <c r="D144" s="2"/>
      <c r="E144" s="2"/>
      <c r="F144" s="2"/>
      <c r="G144" s="2"/>
      <c r="H144" s="2"/>
      <c r="I144" s="6"/>
      <c r="J144" t="b">
        <f t="shared" si="42"/>
        <v>0</v>
      </c>
      <c r="K144" s="2">
        <f t="shared" si="43"/>
        <v>0</v>
      </c>
      <c r="L144" t="b">
        <f t="shared" si="44"/>
        <v>0</v>
      </c>
      <c r="M144" s="7" t="s">
        <v>12</v>
      </c>
      <c r="N144" s="6">
        <f t="shared" si="46"/>
        <v>0.81164658634538156</v>
      </c>
      <c r="O144" s="6">
        <f t="shared" si="46"/>
        <v>0.82070707070707072</v>
      </c>
      <c r="P144" s="6">
        <f t="shared" si="46"/>
        <v>0.89131718842291785</v>
      </c>
      <c r="Q144" s="6">
        <f t="shared" si="46"/>
        <v>0.83493282149712089</v>
      </c>
      <c r="R144" s="6">
        <f t="shared" si="46"/>
        <v>0.90234561991383433</v>
      </c>
      <c r="S144" s="8" cm="1">
        <f t="array" ref="S144">SUM(N144:R144/5)</f>
        <v>0.85218985737726505</v>
      </c>
      <c r="T144" s="9">
        <f t="shared" si="45"/>
        <v>0.85218985737726505</v>
      </c>
      <c r="U144" t="str">
        <f>IF(IFERROR(T144, 0) &gt; 0, IF(T144&lt;75%,"&lt;75%",IF(T144&lt;90%,"75-90%",IF(T144&lt;100%,"90-99%","100%"))), "")</f>
        <v>75-90%</v>
      </c>
      <c r="V144" s="7">
        <v>2490</v>
      </c>
      <c r="W144" s="7">
        <v>1980</v>
      </c>
      <c r="X144" s="7">
        <v>1693</v>
      </c>
      <c r="Y144" s="7">
        <v>2084</v>
      </c>
      <c r="Z144" s="7">
        <v>2089</v>
      </c>
      <c r="AA144" s="7">
        <f t="shared" si="38"/>
        <v>10336</v>
      </c>
      <c r="AB144">
        <v>2021</v>
      </c>
      <c r="AC144">
        <v>1625</v>
      </c>
      <c r="AD144">
        <v>1509</v>
      </c>
      <c r="AE144">
        <v>1740</v>
      </c>
      <c r="AF144">
        <v>1885</v>
      </c>
      <c r="AG144" s="7">
        <f t="shared" si="39"/>
        <v>8780</v>
      </c>
    </row>
    <row r="145" spans="1:33" x14ac:dyDescent="0.3">
      <c r="A145" t="s">
        <v>196</v>
      </c>
      <c r="B145" s="1" t="s">
        <v>12</v>
      </c>
      <c r="C145" s="2">
        <v>1268000</v>
      </c>
      <c r="D145" s="2">
        <v>1302000</v>
      </c>
      <c r="E145" s="2">
        <v>1360000</v>
      </c>
      <c r="F145" s="2">
        <v>1411000</v>
      </c>
      <c r="G145" s="2">
        <v>1463000</v>
      </c>
      <c r="H145" s="2">
        <f>SUM(C145:G145)</f>
        <v>6804000</v>
      </c>
      <c r="I145" s="6">
        <f>G145/C145</f>
        <v>1.1537854889589905</v>
      </c>
      <c r="J145" t="b">
        <f t="shared" si="42"/>
        <v>0</v>
      </c>
      <c r="K145" s="2">
        <f t="shared" si="43"/>
        <v>1390869.2</v>
      </c>
      <c r="L145" t="b">
        <f t="shared" si="44"/>
        <v>0</v>
      </c>
      <c r="M145" s="7" t="s">
        <v>12</v>
      </c>
      <c r="N145" s="6">
        <v>0.94930000000000003</v>
      </c>
      <c r="O145" s="6">
        <v>0.95189999999999997</v>
      </c>
      <c r="P145" s="6">
        <v>0.87090000000000001</v>
      </c>
      <c r="Q145" s="6">
        <v>0.98909999999999998</v>
      </c>
      <c r="R145" s="6">
        <v>0.96630000000000005</v>
      </c>
      <c r="S145" s="8" cm="1">
        <f t="array" ref="S145">SUM(N145:R145/5)</f>
        <v>0.94550000000000001</v>
      </c>
      <c r="T145" s="9">
        <f t="shared" si="45"/>
        <v>0.94550000000000001</v>
      </c>
      <c r="U145" t="str">
        <f>IF(IFERROR(T145, 0) &gt; 0, IF(T145&lt;75%,"&lt;75%",IF(T145&lt;90%,"75-90%",IF(T145&lt;100%,"90-99%","100%"))), "")</f>
        <v>90-99%</v>
      </c>
      <c r="V145" s="7">
        <v>7654</v>
      </c>
      <c r="W145" s="7">
        <v>8238</v>
      </c>
      <c r="X145" s="7">
        <v>6778</v>
      </c>
      <c r="Y145" s="7">
        <v>6507</v>
      </c>
      <c r="Z145" s="7">
        <v>5909</v>
      </c>
      <c r="AA145" s="7">
        <f t="shared" si="38"/>
        <v>35086</v>
      </c>
      <c r="AG145" s="7">
        <f t="shared" si="39"/>
        <v>0</v>
      </c>
    </row>
    <row r="146" spans="1:33" x14ac:dyDescent="0.3">
      <c r="A146" t="s">
        <v>198</v>
      </c>
      <c r="B146" s="1" t="s">
        <v>12</v>
      </c>
      <c r="C146" s="2">
        <v>1447347</v>
      </c>
      <c r="D146" s="2">
        <v>1194329</v>
      </c>
      <c r="E146" s="2">
        <v>2558861</v>
      </c>
      <c r="F146" s="2">
        <v>2524952</v>
      </c>
      <c r="G146" s="2">
        <v>1787204</v>
      </c>
      <c r="H146" s="2">
        <f>SUM(C146:G146)</f>
        <v>9512693</v>
      </c>
      <c r="I146" s="6">
        <f>G146/C146</f>
        <v>1.23481376615283</v>
      </c>
      <c r="J146" t="b">
        <f t="shared" si="42"/>
        <v>0</v>
      </c>
      <c r="K146" s="2">
        <f t="shared" si="43"/>
        <v>1587594.9243000001</v>
      </c>
      <c r="L146" t="b">
        <f t="shared" si="44"/>
        <v>0</v>
      </c>
      <c r="N146" s="6"/>
      <c r="O146" s="6"/>
      <c r="P146" s="6"/>
      <c r="Q146" s="6"/>
      <c r="R146" s="6"/>
      <c r="S146" s="8" cm="1">
        <f t="array" ref="S146">SUM(N146:R146/5)</f>
        <v>0</v>
      </c>
      <c r="T146" s="9">
        <f t="shared" si="45"/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f t="shared" si="38"/>
        <v>0</v>
      </c>
      <c r="AG146" s="7">
        <f t="shared" si="39"/>
        <v>0</v>
      </c>
    </row>
    <row r="147" spans="1:33" x14ac:dyDescent="0.3">
      <c r="A147" t="s">
        <v>199</v>
      </c>
      <c r="B147" s="1" t="s">
        <v>12</v>
      </c>
      <c r="C147" s="2">
        <v>5970000</v>
      </c>
      <c r="D147" s="2">
        <v>4420000</v>
      </c>
      <c r="E147" s="2">
        <v>5264000</v>
      </c>
      <c r="F147" s="2">
        <v>7962000</v>
      </c>
      <c r="G147" s="2">
        <v>8353000</v>
      </c>
      <c r="H147" s="2">
        <f>SUM(C147:G147)</f>
        <v>31969000</v>
      </c>
      <c r="I147" s="6">
        <f>G147/C147</f>
        <v>1.3991624790619765</v>
      </c>
      <c r="J147" t="b">
        <f t="shared" si="42"/>
        <v>0</v>
      </c>
      <c r="K147" s="2">
        <f t="shared" si="43"/>
        <v>6548493</v>
      </c>
      <c r="L147" t="b">
        <f t="shared" si="44"/>
        <v>0</v>
      </c>
      <c r="M147" s="7" t="s">
        <v>12</v>
      </c>
      <c r="N147" s="6">
        <f>AB147/V147</f>
        <v>0.87223321936296561</v>
      </c>
      <c r="O147" s="6">
        <f>AC147/W147</f>
        <v>0.86001653348029761</v>
      </c>
      <c r="P147" s="6">
        <f>AD147/X147</f>
        <v>0.83240740740740737</v>
      </c>
      <c r="Q147" s="6">
        <f>AE147/Y147</f>
        <v>0.86643925478876938</v>
      </c>
      <c r="R147" s="6">
        <f>AF147/Z147</f>
        <v>0.95045376502330148</v>
      </c>
      <c r="S147" s="8" cm="1">
        <f t="array" ref="S147">SUM(N147:R147/5)</f>
        <v>0.87631003601254831</v>
      </c>
      <c r="T147" s="9">
        <f t="shared" si="45"/>
        <v>0.87631003601254831</v>
      </c>
      <c r="U147" t="str">
        <f>IF(IFERROR(T147, 0) &gt; 0, IF(T147&lt;75%,"&lt;75%",IF(T147&lt;90%,"75-90%",IF(T147&lt;100%,"90-99%","100%"))), "")</f>
        <v>75-90%</v>
      </c>
      <c r="V147" s="7">
        <v>5557</v>
      </c>
      <c r="W147" s="7">
        <v>3629</v>
      </c>
      <c r="X147" s="7">
        <v>6480</v>
      </c>
      <c r="Y147" s="7">
        <v>3811</v>
      </c>
      <c r="Z147" s="7">
        <v>4077</v>
      </c>
      <c r="AA147" s="7">
        <f t="shared" si="38"/>
        <v>23554</v>
      </c>
      <c r="AB147">
        <v>4847</v>
      </c>
      <c r="AC147">
        <v>3121</v>
      </c>
      <c r="AD147">
        <v>5394</v>
      </c>
      <c r="AE147">
        <v>3302</v>
      </c>
      <c r="AF147">
        <v>3875</v>
      </c>
      <c r="AG147" s="7">
        <f t="shared" si="39"/>
        <v>20539</v>
      </c>
    </row>
    <row r="148" spans="1:33" x14ac:dyDescent="0.3">
      <c r="A148" t="s">
        <v>201</v>
      </c>
      <c r="B148" s="1"/>
      <c r="I148" s="6"/>
      <c r="J148" t="b">
        <f t="shared" si="42"/>
        <v>0</v>
      </c>
      <c r="K148" s="2">
        <f t="shared" si="43"/>
        <v>0</v>
      </c>
      <c r="L148" t="b">
        <f t="shared" si="44"/>
        <v>0</v>
      </c>
      <c r="M148" s="7" t="s">
        <v>12</v>
      </c>
      <c r="S148" s="8">
        <v>0.91749999999999998</v>
      </c>
      <c r="T148" s="9">
        <f t="shared" si="45"/>
        <v>0.91749999999999998</v>
      </c>
      <c r="U148" t="str">
        <f>IF(IFERROR(T148, 0) &gt; 0, IF(T148&lt;75%,"&lt;75%",IF(T148&lt;90%,"75-90%",IF(T148&lt;100%,"90-99%","100%"))), "")</f>
        <v>90-99%</v>
      </c>
      <c r="V148" s="7">
        <v>1287</v>
      </c>
      <c r="W148" s="7">
        <v>1340</v>
      </c>
      <c r="X148" s="7">
        <v>1821</v>
      </c>
      <c r="Y148" s="7">
        <v>1168</v>
      </c>
      <c r="Z148" s="7">
        <v>1240</v>
      </c>
      <c r="AA148" s="7">
        <f t="shared" si="38"/>
        <v>6856</v>
      </c>
      <c r="AG148" s="7">
        <f t="shared" si="39"/>
        <v>0</v>
      </c>
    </row>
    <row r="149" spans="1:33" x14ac:dyDescent="0.3">
      <c r="A149" s="29" t="s">
        <v>202</v>
      </c>
      <c r="B149" s="27"/>
      <c r="C149" s="29"/>
      <c r="D149" s="29"/>
      <c r="E149" s="29"/>
      <c r="F149" s="29"/>
      <c r="G149" s="29"/>
      <c r="H149" s="29"/>
      <c r="I149" s="10"/>
      <c r="J149" s="29" t="b">
        <f t="shared" si="42"/>
        <v>0</v>
      </c>
      <c r="K149" s="28">
        <f t="shared" si="43"/>
        <v>0</v>
      </c>
      <c r="L149" s="29" t="b">
        <f t="shared" si="44"/>
        <v>0</v>
      </c>
      <c r="N149" s="10"/>
      <c r="O149" s="10"/>
      <c r="P149" s="10"/>
      <c r="Q149" s="10"/>
      <c r="R149" s="10"/>
      <c r="S149" s="8" cm="1">
        <f t="array" ref="S149">SUM(N149:R149/5)</f>
        <v>0</v>
      </c>
      <c r="T149" s="35">
        <f t="shared" si="45"/>
        <v>0</v>
      </c>
      <c r="U149" s="29"/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f t="shared" si="38"/>
        <v>0</v>
      </c>
      <c r="AB149" s="29"/>
      <c r="AC149" s="29"/>
      <c r="AD149" s="29"/>
      <c r="AE149" s="29"/>
      <c r="AF149" s="29"/>
      <c r="AG149" s="7">
        <f t="shared" si="39"/>
        <v>0</v>
      </c>
    </row>
    <row r="150" spans="1:33" x14ac:dyDescent="0.3">
      <c r="A150" t="s">
        <v>203</v>
      </c>
      <c r="B150" s="1"/>
      <c r="I150" s="6"/>
      <c r="J150" t="b">
        <f t="shared" si="42"/>
        <v>0</v>
      </c>
      <c r="K150" s="2">
        <f t="shared" si="43"/>
        <v>0</v>
      </c>
      <c r="L150" t="b">
        <f t="shared" si="44"/>
        <v>0</v>
      </c>
      <c r="M150" s="7" t="s">
        <v>12</v>
      </c>
      <c r="N150" s="6">
        <f>AB150/V150</f>
        <v>0.86116758640720303</v>
      </c>
      <c r="O150" s="6">
        <f>AC150/W150</f>
        <v>0.94474935967800955</v>
      </c>
      <c r="P150" s="6">
        <f>AD150/X150</f>
        <v>0.8922528940338379</v>
      </c>
      <c r="Q150" s="6">
        <f>AE150/Y150</f>
        <v>0.9763087504776462</v>
      </c>
      <c r="R150" s="6">
        <f>AF150/Z150</f>
        <v>0.94369287020109693</v>
      </c>
      <c r="S150" s="8" cm="1">
        <f t="array" ref="S150">SUM(N150:R150/5)</f>
        <v>0.92363429215955861</v>
      </c>
      <c r="T150" s="9">
        <f t="shared" si="45"/>
        <v>0.92363429215955861</v>
      </c>
      <c r="U150" t="str">
        <f t="shared" ref="U150:U155" si="47">IF(IFERROR(T150, 0) &gt; 0, IF(T150&lt;75%,"&lt;75%",IF(T150&lt;90%,"75-90%",IF(T150&lt;100%,"90-99%","100%"))), "")</f>
        <v>90-99%</v>
      </c>
      <c r="V150" s="7">
        <v>3443</v>
      </c>
      <c r="W150" s="7">
        <v>2733</v>
      </c>
      <c r="X150" s="7">
        <v>3369</v>
      </c>
      <c r="Y150" s="7">
        <v>2617</v>
      </c>
      <c r="Z150" s="7">
        <v>2735</v>
      </c>
      <c r="AA150" s="7">
        <f t="shared" si="38"/>
        <v>14897</v>
      </c>
      <c r="AB150">
        <v>2965</v>
      </c>
      <c r="AC150">
        <v>2582</v>
      </c>
      <c r="AD150">
        <v>3006</v>
      </c>
      <c r="AE150">
        <v>2555</v>
      </c>
      <c r="AF150">
        <v>2581</v>
      </c>
      <c r="AG150" s="7">
        <f t="shared" si="39"/>
        <v>13689</v>
      </c>
    </row>
    <row r="151" spans="1:33" x14ac:dyDescent="0.3">
      <c r="A151" t="s">
        <v>204</v>
      </c>
      <c r="B151" s="1"/>
      <c r="I151" s="6"/>
      <c r="J151" t="b">
        <f t="shared" si="42"/>
        <v>0</v>
      </c>
      <c r="K151" s="2">
        <f t="shared" si="43"/>
        <v>0</v>
      </c>
      <c r="L151" t="b">
        <f t="shared" si="44"/>
        <v>0</v>
      </c>
      <c r="M151" s="7" t="s">
        <v>12</v>
      </c>
      <c r="N151" s="6">
        <v>0.4869</v>
      </c>
      <c r="O151" s="6">
        <v>0.54520000000000002</v>
      </c>
      <c r="P151" s="6">
        <v>0.60599999999999998</v>
      </c>
      <c r="Q151" s="6">
        <v>0.90349999999999997</v>
      </c>
      <c r="R151" s="6">
        <v>0.78320000000000001</v>
      </c>
      <c r="S151" s="8" cm="1">
        <f t="array" ref="S151">SUM(N151:R151/5)</f>
        <v>0.66496</v>
      </c>
      <c r="T151" s="9">
        <f t="shared" si="45"/>
        <v>0.66496</v>
      </c>
      <c r="U151" t="str">
        <f t="shared" si="47"/>
        <v>&lt;75%</v>
      </c>
      <c r="V151" s="7">
        <v>6148</v>
      </c>
      <c r="W151" s="7">
        <v>12352</v>
      </c>
      <c r="X151" s="7">
        <v>20230</v>
      </c>
      <c r="Y151" s="7">
        <v>14520</v>
      </c>
      <c r="Z151" s="29">
        <v>14264</v>
      </c>
      <c r="AA151" s="7">
        <f t="shared" si="38"/>
        <v>67514</v>
      </c>
      <c r="AG151" s="7">
        <f t="shared" si="39"/>
        <v>0</v>
      </c>
    </row>
    <row r="152" spans="1:33" x14ac:dyDescent="0.3">
      <c r="A152" t="s">
        <v>205</v>
      </c>
      <c r="B152" s="1"/>
      <c r="C152" s="29"/>
      <c r="D152" s="29"/>
      <c r="E152" s="29"/>
      <c r="F152" s="29"/>
      <c r="G152" s="29"/>
      <c r="I152" s="6"/>
      <c r="J152" t="b">
        <f t="shared" si="42"/>
        <v>0</v>
      </c>
      <c r="K152" s="2">
        <f t="shared" si="43"/>
        <v>0</v>
      </c>
      <c r="L152" t="b">
        <f t="shared" si="44"/>
        <v>0</v>
      </c>
      <c r="M152" s="7" t="s">
        <v>12</v>
      </c>
      <c r="N152" s="6">
        <v>0.95599999999999996</v>
      </c>
      <c r="O152" s="6">
        <v>0.875</v>
      </c>
      <c r="P152" s="6">
        <v>0.996</v>
      </c>
      <c r="Q152" s="6">
        <v>0.88200000000000001</v>
      </c>
      <c r="R152" s="6">
        <v>0.98399999999999999</v>
      </c>
      <c r="S152" s="8" cm="1">
        <f t="array" ref="S152">SUM(N152:R152/5)</f>
        <v>0.93859999999999988</v>
      </c>
      <c r="T152" s="9">
        <f t="shared" si="45"/>
        <v>0.93859999999999988</v>
      </c>
      <c r="U152" t="str">
        <f t="shared" si="47"/>
        <v>90-99%</v>
      </c>
      <c r="V152" s="7">
        <v>2433</v>
      </c>
      <c r="W152" s="7">
        <v>2175</v>
      </c>
      <c r="X152" s="7">
        <v>3149</v>
      </c>
      <c r="Y152" s="7">
        <v>1875</v>
      </c>
      <c r="Z152" s="7">
        <v>0</v>
      </c>
      <c r="AA152" s="7">
        <f t="shared" si="38"/>
        <v>9632</v>
      </c>
      <c r="AG152" s="7">
        <f t="shared" si="39"/>
        <v>0</v>
      </c>
    </row>
    <row r="153" spans="1:33" x14ac:dyDescent="0.3">
      <c r="A153" t="s">
        <v>206</v>
      </c>
      <c r="B153" s="1"/>
      <c r="I153" s="6"/>
      <c r="J153" t="b">
        <f t="shared" si="42"/>
        <v>0</v>
      </c>
      <c r="K153" s="2">
        <f t="shared" si="43"/>
        <v>0</v>
      </c>
      <c r="L153" t="b">
        <f t="shared" si="44"/>
        <v>0</v>
      </c>
      <c r="M153" s="7" t="s">
        <v>12</v>
      </c>
      <c r="N153" s="6"/>
      <c r="O153" s="6"/>
      <c r="P153" s="6"/>
      <c r="Q153" s="6"/>
      <c r="R153" s="6"/>
      <c r="S153" s="8">
        <v>0.94</v>
      </c>
      <c r="T153" s="9">
        <f t="shared" si="45"/>
        <v>0.94</v>
      </c>
      <c r="U153" t="str">
        <f t="shared" si="47"/>
        <v>90-99%</v>
      </c>
      <c r="V153" s="29">
        <v>0</v>
      </c>
      <c r="W153" s="7">
        <v>0</v>
      </c>
      <c r="X153" s="7">
        <v>0</v>
      </c>
      <c r="Y153" s="7">
        <v>0</v>
      </c>
      <c r="Z153" s="7">
        <v>0</v>
      </c>
      <c r="AA153" s="7">
        <f t="shared" si="38"/>
        <v>0</v>
      </c>
      <c r="AG153" s="7">
        <f t="shared" si="39"/>
        <v>0</v>
      </c>
    </row>
    <row r="154" spans="1:33" x14ac:dyDescent="0.3">
      <c r="A154" s="29" t="s">
        <v>207</v>
      </c>
      <c r="B154" s="27"/>
      <c r="C154" s="29"/>
      <c r="D154" s="29"/>
      <c r="E154" s="29"/>
      <c r="F154" s="29"/>
      <c r="G154" s="29"/>
      <c r="H154" s="29"/>
      <c r="I154" s="10"/>
      <c r="J154" s="29" t="b">
        <f t="shared" si="42"/>
        <v>0</v>
      </c>
      <c r="K154" s="28">
        <f t="shared" si="43"/>
        <v>0</v>
      </c>
      <c r="L154" s="29" t="b">
        <f t="shared" si="44"/>
        <v>0</v>
      </c>
      <c r="M154" s="7" t="s">
        <v>12</v>
      </c>
      <c r="N154" s="29"/>
      <c r="O154" s="10">
        <f>AC154/W154</f>
        <v>0.4626144455747711</v>
      </c>
      <c r="P154" s="10">
        <f>AD154/X154</f>
        <v>0.44644253322908523</v>
      </c>
      <c r="Q154" s="10">
        <f>AE154/Y154</f>
        <v>0.30986425339366513</v>
      </c>
      <c r="R154" s="10">
        <f>AF154/Z154</f>
        <v>0.491869918699187</v>
      </c>
      <c r="S154" s="8" cm="1">
        <f t="array" ref="S154">SUM(N154:R154/4)</f>
        <v>0.4276977877241771</v>
      </c>
      <c r="T154" s="35">
        <f t="shared" si="45"/>
        <v>0.4276977877241771</v>
      </c>
      <c r="U154" s="29" t="str">
        <f t="shared" si="47"/>
        <v>&lt;75%</v>
      </c>
      <c r="V154" s="7">
        <v>0</v>
      </c>
      <c r="W154" s="7">
        <v>3932</v>
      </c>
      <c r="X154" s="7">
        <v>6395</v>
      </c>
      <c r="Y154" s="7">
        <v>5525</v>
      </c>
      <c r="Z154" s="7">
        <v>4182</v>
      </c>
      <c r="AA154" s="7">
        <f t="shared" si="38"/>
        <v>20034</v>
      </c>
      <c r="AB154" s="29"/>
      <c r="AC154" s="29">
        <v>1819</v>
      </c>
      <c r="AD154" s="29">
        <v>2855</v>
      </c>
      <c r="AE154" s="29">
        <v>1712</v>
      </c>
      <c r="AF154" s="29">
        <v>2057</v>
      </c>
      <c r="AG154" s="7">
        <f t="shared" si="39"/>
        <v>8443</v>
      </c>
    </row>
    <row r="155" spans="1:33" x14ac:dyDescent="0.3">
      <c r="A155" t="s">
        <v>209</v>
      </c>
      <c r="B155" s="1" t="s">
        <v>12</v>
      </c>
      <c r="C155" s="28">
        <v>9528719</v>
      </c>
      <c r="D155" s="28">
        <v>14260346</v>
      </c>
      <c r="E155" s="28">
        <v>12217500</v>
      </c>
      <c r="F155" s="28">
        <v>9310400</v>
      </c>
      <c r="G155" s="28">
        <v>10096400</v>
      </c>
      <c r="H155" s="2">
        <f>SUM(C155:G155)</f>
        <v>55413365</v>
      </c>
      <c r="I155" s="6">
        <f>G155/C155</f>
        <v>1.0595757939760844</v>
      </c>
      <c r="J155" t="b">
        <f t="shared" si="42"/>
        <v>0</v>
      </c>
      <c r="K155" s="2">
        <f t="shared" si="43"/>
        <v>10452051.871099999</v>
      </c>
      <c r="L155" t="b">
        <f t="shared" si="44"/>
        <v>1</v>
      </c>
      <c r="M155" s="7" t="s">
        <v>12</v>
      </c>
      <c r="N155" s="6">
        <f>(416+299+610+622)/(438+320+763+814)</f>
        <v>0.83383297644539611</v>
      </c>
      <c r="O155" s="6">
        <f>(422+424+729+1329)/(440+456+798+1505)</f>
        <v>0.90778368240075025</v>
      </c>
      <c r="P155" s="6">
        <f>(392+394+572+682)/(396+306+618+799)</f>
        <v>0.96271826333176025</v>
      </c>
      <c r="Q155" s="6">
        <f>(207+296+349+629)/(209+307+384+731)</f>
        <v>0.90803188228080933</v>
      </c>
      <c r="R155" s="6">
        <f>(209+409+573+241)/(209+410+575+242)</f>
        <v>0.99721448467966578</v>
      </c>
      <c r="S155" s="8" cm="1">
        <f t="array" ref="S155">SUM(N155:R155/5)</f>
        <v>0.92191625782767628</v>
      </c>
      <c r="T155" s="9">
        <f t="shared" si="45"/>
        <v>0.92191625782767628</v>
      </c>
      <c r="U155" t="str">
        <f t="shared" si="47"/>
        <v>90-99%</v>
      </c>
      <c r="V155" s="7">
        <v>819</v>
      </c>
      <c r="W155" s="7">
        <v>903</v>
      </c>
      <c r="X155" s="7">
        <v>1171</v>
      </c>
      <c r="Y155" s="7">
        <v>1135</v>
      </c>
      <c r="Z155" s="7">
        <v>1540</v>
      </c>
      <c r="AA155" s="7">
        <f t="shared" si="38"/>
        <v>5568</v>
      </c>
      <c r="AG155" s="7">
        <f t="shared" si="39"/>
        <v>0</v>
      </c>
    </row>
    <row r="156" spans="1:33" x14ac:dyDescent="0.3">
      <c r="A156" t="s">
        <v>210</v>
      </c>
      <c r="B156" s="1" t="s">
        <v>12</v>
      </c>
      <c r="C156" s="2">
        <v>1092552</v>
      </c>
      <c r="D156" s="2">
        <v>811866</v>
      </c>
      <c r="E156" s="2">
        <v>727676</v>
      </c>
      <c r="F156" s="2">
        <v>727676</v>
      </c>
      <c r="G156" s="2">
        <v>727676</v>
      </c>
      <c r="H156" s="2">
        <f>SUM(C156:G156)</f>
        <v>4087446</v>
      </c>
      <c r="I156" s="6">
        <f>G156/C156</f>
        <v>0.66603328720280586</v>
      </c>
      <c r="J156" t="b">
        <f t="shared" si="42"/>
        <v>1</v>
      </c>
      <c r="K156" s="2">
        <f t="shared" si="43"/>
        <v>1198420.2888</v>
      </c>
      <c r="L156" t="b">
        <f t="shared" si="44"/>
        <v>1</v>
      </c>
      <c r="N156" s="6"/>
      <c r="O156" s="6"/>
      <c r="P156" s="6"/>
      <c r="Q156" s="6"/>
      <c r="R156" s="6"/>
      <c r="S156" s="10"/>
      <c r="T156" s="9">
        <f t="shared" si="45"/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f t="shared" si="38"/>
        <v>0</v>
      </c>
      <c r="AG156" s="7">
        <f t="shared" si="39"/>
        <v>0</v>
      </c>
    </row>
    <row r="157" spans="1:33" x14ac:dyDescent="0.3">
      <c r="A157" t="s">
        <v>211</v>
      </c>
      <c r="B157" s="1" t="s">
        <v>12</v>
      </c>
      <c r="C157" s="38">
        <v>27266350.170000002</v>
      </c>
      <c r="D157" s="38">
        <v>19713254</v>
      </c>
      <c r="E157" s="38">
        <v>17640943.850000001</v>
      </c>
      <c r="F157" s="38">
        <v>20328866.559999999</v>
      </c>
      <c r="G157" s="38">
        <v>25147644.77</v>
      </c>
      <c r="H157" s="2">
        <f>SUM(C157:G157)</f>
        <v>110097059.34999999</v>
      </c>
      <c r="I157" s="6">
        <f>G157/C157</f>
        <v>0.92229596602441044</v>
      </c>
      <c r="J157" t="b">
        <f t="shared" si="42"/>
        <v>1</v>
      </c>
      <c r="K157" s="2">
        <f t="shared" si="43"/>
        <v>29908459.501473002</v>
      </c>
      <c r="L157" t="b">
        <f t="shared" si="44"/>
        <v>1</v>
      </c>
      <c r="S157" s="7"/>
      <c r="T157" s="9">
        <f t="shared" si="45"/>
        <v>0</v>
      </c>
      <c r="V157" s="7"/>
      <c r="W157" s="7"/>
      <c r="X157" s="7"/>
      <c r="Y157" s="7"/>
      <c r="Z157" s="7"/>
      <c r="AG157" s="7"/>
    </row>
    <row r="158" spans="1:33" x14ac:dyDescent="0.3">
      <c r="A158" s="29" t="s">
        <v>213</v>
      </c>
      <c r="B158" s="27"/>
      <c r="I158" s="10"/>
      <c r="J158" s="29" t="b">
        <f t="shared" si="42"/>
        <v>0</v>
      </c>
      <c r="K158" s="28">
        <f t="shared" si="43"/>
        <v>0</v>
      </c>
      <c r="L158" s="29" t="b">
        <f t="shared" si="44"/>
        <v>0</v>
      </c>
      <c r="M158" s="7" t="s">
        <v>12</v>
      </c>
      <c r="N158" s="10"/>
      <c r="O158" s="10"/>
      <c r="P158" s="10"/>
      <c r="Q158" s="10"/>
      <c r="R158" s="10"/>
      <c r="S158" s="8">
        <v>0.85</v>
      </c>
      <c r="T158" s="35">
        <f t="shared" si="45"/>
        <v>0.85</v>
      </c>
      <c r="U158" s="29" t="str">
        <f>IF(IFERROR(T158, 0) &gt; 0, IF(T158&lt;75%,"&lt;75%",IF(T158&lt;90%,"75-90%",IF(T158&lt;100%,"90-99%","100%"))), "")</f>
        <v>75-90%</v>
      </c>
      <c r="V158" s="7">
        <v>247</v>
      </c>
      <c r="W158" s="7">
        <v>210</v>
      </c>
      <c r="X158" s="7">
        <v>144</v>
      </c>
      <c r="Y158" s="7">
        <v>371</v>
      </c>
      <c r="Z158" s="7"/>
      <c r="AA158" s="7">
        <f>SUM(V158+W158+X158+Y158+Z158)</f>
        <v>972</v>
      </c>
      <c r="AB158" s="29"/>
      <c r="AC158" s="29"/>
      <c r="AD158" s="29"/>
      <c r="AE158" s="29"/>
      <c r="AF158" s="29"/>
      <c r="AG158" s="7">
        <f>SUM(AB158:AF158)</f>
        <v>0</v>
      </c>
    </row>
    <row r="159" spans="1:33" x14ac:dyDescent="0.3">
      <c r="A159" t="s">
        <v>216</v>
      </c>
      <c r="B159" s="27" t="s">
        <v>12</v>
      </c>
      <c r="C159" s="28">
        <v>29983000</v>
      </c>
      <c r="D159" s="28">
        <v>28809000</v>
      </c>
      <c r="E159" s="28">
        <v>18575000</v>
      </c>
      <c r="F159" s="28">
        <v>20379000</v>
      </c>
      <c r="G159" s="28">
        <v>27341000</v>
      </c>
      <c r="H159" s="28">
        <f>SUM(C159:G159)</f>
        <v>125087000</v>
      </c>
      <c r="I159" s="6">
        <f>G159/C159</f>
        <v>0.91188340059366979</v>
      </c>
      <c r="J159" s="29" t="b">
        <f t="shared" si="42"/>
        <v>1</v>
      </c>
      <c r="K159" s="2">
        <f t="shared" si="43"/>
        <v>32888352.699999999</v>
      </c>
      <c r="L159" t="b">
        <f t="shared" si="44"/>
        <v>1</v>
      </c>
      <c r="N159" s="6"/>
      <c r="O159" s="6"/>
      <c r="P159" s="6"/>
      <c r="Q159" s="6"/>
      <c r="R159" s="6"/>
      <c r="S159" s="10"/>
      <c r="T159" s="9">
        <f t="shared" si="45"/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f>SUM(V159+W159+X159+Y159+Z159)</f>
        <v>0</v>
      </c>
      <c r="AG159" s="7">
        <f>SUM(AB159:AF159)</f>
        <v>0</v>
      </c>
    </row>
    <row r="160" spans="1:33" x14ac:dyDescent="0.3">
      <c r="A160" s="29" t="s">
        <v>217</v>
      </c>
      <c r="B160" s="29" t="s">
        <v>12</v>
      </c>
      <c r="C160" s="28">
        <v>5395381</v>
      </c>
      <c r="D160" s="28">
        <v>3234912</v>
      </c>
      <c r="E160" s="28">
        <v>4683857</v>
      </c>
      <c r="F160" s="28">
        <v>5012319</v>
      </c>
      <c r="G160" s="28">
        <v>5259336</v>
      </c>
      <c r="H160" s="28">
        <f>SUM(C160:G160)</f>
        <v>23585805</v>
      </c>
      <c r="I160" s="10">
        <f>G160/C160</f>
        <v>0.97478491324338357</v>
      </c>
      <c r="J160" s="29" t="b">
        <f t="shared" si="42"/>
        <v>1</v>
      </c>
      <c r="K160" s="28">
        <f t="shared" si="43"/>
        <v>5918193.4188999999</v>
      </c>
      <c r="L160" s="29" t="b">
        <f t="shared" si="44"/>
        <v>1</v>
      </c>
      <c r="N160" s="29"/>
      <c r="O160" s="29"/>
      <c r="P160" s="29"/>
      <c r="Q160" s="29"/>
      <c r="R160" s="29"/>
      <c r="S160" s="7"/>
      <c r="T160" s="35">
        <f t="shared" si="45"/>
        <v>0</v>
      </c>
      <c r="U160" s="29"/>
      <c r="V160" s="7"/>
      <c r="W160" s="7"/>
      <c r="X160" s="7"/>
      <c r="Y160" s="7"/>
      <c r="Z160" s="7"/>
      <c r="AB160" s="29"/>
      <c r="AC160" s="29"/>
      <c r="AD160" s="29"/>
      <c r="AE160" s="29"/>
      <c r="AF160" s="29"/>
      <c r="AG160" s="7"/>
    </row>
    <row r="161" spans="1:33" ht="15" thickBot="1" x14ac:dyDescent="0.35">
      <c r="A161" s="40" t="s">
        <v>218</v>
      </c>
      <c r="B161" s="40" t="s">
        <v>12</v>
      </c>
      <c r="C161" s="41">
        <v>909000</v>
      </c>
      <c r="D161" s="41">
        <v>796000</v>
      </c>
      <c r="E161" s="41">
        <v>766000</v>
      </c>
      <c r="F161" s="41">
        <v>835000</v>
      </c>
      <c r="G161" s="41">
        <v>802000</v>
      </c>
      <c r="H161" s="41">
        <f>SUM(C161:G161)</f>
        <v>4108000</v>
      </c>
      <c r="I161" s="42">
        <f>G161/C161</f>
        <v>0.88228822882288227</v>
      </c>
      <c r="J161" s="40" t="b">
        <f t="shared" si="42"/>
        <v>1</v>
      </c>
      <c r="K161" s="41">
        <f t="shared" si="43"/>
        <v>997082.1</v>
      </c>
      <c r="L161" s="40" t="b">
        <f t="shared" si="44"/>
        <v>1</v>
      </c>
      <c r="M161" s="43" t="s">
        <v>12</v>
      </c>
      <c r="N161" s="42">
        <f>AB161/V161</f>
        <v>0.85276073619631898</v>
      </c>
      <c r="O161" s="42">
        <f>AC161/W161</f>
        <v>0.45198675496688739</v>
      </c>
      <c r="P161" s="42">
        <f>AD161/X161</f>
        <v>0.44140905823148813</v>
      </c>
      <c r="Q161" s="42">
        <f>AE161/Y161</f>
        <v>0.47430968192939532</v>
      </c>
      <c r="R161" s="42">
        <f>AF161/Z161</f>
        <v>0.69167291822955734</v>
      </c>
      <c r="S161" s="44" cm="1">
        <f t="array" ref="S161">SUM(N161:R161/5)</f>
        <v>0.58242782991072939</v>
      </c>
      <c r="T161" s="45">
        <f t="shared" si="45"/>
        <v>0.58242782991072939</v>
      </c>
      <c r="U161" s="40" t="str">
        <f>IF(IFERROR(T161, 0) &gt; 0, IF(T161&lt;75%,"&lt;75%",IF(T161&lt;90%,"75-90%",IF(T161&lt;100%,"90-99%","100%"))), "")</f>
        <v>&lt;75%</v>
      </c>
      <c r="V161" s="43">
        <v>326</v>
      </c>
      <c r="W161" s="43">
        <v>2416</v>
      </c>
      <c r="X161" s="43">
        <v>2782</v>
      </c>
      <c r="Y161" s="43">
        <v>2861</v>
      </c>
      <c r="Z161" s="43">
        <v>2666</v>
      </c>
      <c r="AA161" s="43">
        <f>SUM(V161+W161+X161+Y161+Z161)</f>
        <v>11051</v>
      </c>
      <c r="AB161" s="40">
        <v>278</v>
      </c>
      <c r="AC161" s="40">
        <v>1092</v>
      </c>
      <c r="AD161" s="40">
        <v>1228</v>
      </c>
      <c r="AE161" s="40">
        <v>1357</v>
      </c>
      <c r="AF161" s="40">
        <v>1844</v>
      </c>
      <c r="AG161" s="43">
        <f>SUM(AB161:AF161)</f>
        <v>5799</v>
      </c>
    </row>
    <row r="162" spans="1:33" x14ac:dyDescent="0.3">
      <c r="A162" s="29"/>
      <c r="B162" s="29"/>
      <c r="C162" s="28"/>
      <c r="D162" s="28"/>
      <c r="E162" s="28"/>
      <c r="F162" s="28"/>
      <c r="G162" s="28"/>
      <c r="H162" s="28"/>
      <c r="I162" s="10"/>
      <c r="J162" s="29"/>
      <c r="K162" s="28"/>
      <c r="L162" s="29"/>
      <c r="M162" s="29"/>
      <c r="N162" s="10"/>
      <c r="O162" s="10"/>
      <c r="P162" s="10"/>
      <c r="Q162" s="10"/>
      <c r="R162" s="10"/>
      <c r="S162" s="10"/>
      <c r="T162" s="35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</row>
    <row r="163" spans="1:33" x14ac:dyDescent="0.3">
      <c r="A163" s="36" t="s">
        <v>219</v>
      </c>
      <c r="B163" s="1">
        <f>COUNTIF(B1:B160,"Yes")</f>
        <v>112</v>
      </c>
      <c r="C163" s="2">
        <f>SUM(C5:C161)</f>
        <v>833656670.61000001</v>
      </c>
      <c r="D163" s="2">
        <f t="shared" ref="D163:G163" si="48">SUM(D5:D161)</f>
        <v>858771996.2700001</v>
      </c>
      <c r="E163" s="2">
        <f t="shared" si="48"/>
        <v>975112102.04000008</v>
      </c>
      <c r="F163" s="2">
        <f t="shared" si="48"/>
        <v>811692959.79999995</v>
      </c>
      <c r="G163" s="2">
        <f t="shared" si="48"/>
        <v>955317436.50999999</v>
      </c>
      <c r="H163" s="2">
        <f>SUM(H5:H161)</f>
        <v>4434551165.2299995</v>
      </c>
      <c r="I163" s="2"/>
      <c r="J163">
        <f>COUNTIF(J5:J161, TRUE)</f>
        <v>53</v>
      </c>
      <c r="K163" s="2">
        <f>C163*1.0969</f>
        <v>914438001.99210906</v>
      </c>
      <c r="L163">
        <f>COUNTIF(L5:L160, TRUE)</f>
        <v>65</v>
      </c>
      <c r="M163" s="29">
        <f>COUNTIF(M1:M161,"Yes")</f>
        <v>82</v>
      </c>
      <c r="O163" s="35"/>
      <c r="P163" s="35"/>
      <c r="Q163" s="35"/>
      <c r="S163" s="29"/>
      <c r="V163" s="29"/>
      <c r="W163" s="29"/>
      <c r="X163" s="29"/>
      <c r="Y163" s="29"/>
      <c r="Z163" s="29"/>
      <c r="AA163" s="29"/>
      <c r="AG163" s="29"/>
    </row>
    <row r="164" spans="1:33" ht="43.2" x14ac:dyDescent="0.3">
      <c r="A164" s="29"/>
      <c r="B164" s="27" t="s">
        <v>276</v>
      </c>
      <c r="C164" s="28">
        <f>C163</f>
        <v>833656670.61000001</v>
      </c>
      <c r="D164" s="10">
        <f>D163/C164</f>
        <v>1.0301267014892628</v>
      </c>
      <c r="E164" s="10">
        <f>E163/C164</f>
        <v>1.1696806808089173</v>
      </c>
      <c r="F164" s="10">
        <f>F163/C164</f>
        <v>0.97365376949010818</v>
      </c>
      <c r="G164" s="10">
        <f>G163/C164</f>
        <v>1.1459362951069278</v>
      </c>
      <c r="H164" s="28"/>
      <c r="I164" s="10"/>
      <c r="J164" s="10">
        <f>J163/(B163+B167)</f>
        <v>0.4732142857142857</v>
      </c>
      <c r="K164" s="29"/>
      <c r="L164" s="10">
        <f>L163/113</f>
        <v>0.5752212389380531</v>
      </c>
      <c r="M164" s="29"/>
      <c r="N164" s="29"/>
      <c r="O164" s="29"/>
      <c r="P164" s="29"/>
      <c r="Q164" s="29"/>
      <c r="R164" s="29"/>
      <c r="S164" s="10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</row>
    <row r="165" spans="1:33" ht="86.4" x14ac:dyDescent="0.3">
      <c r="A165" s="29"/>
      <c r="B165" s="27" t="s">
        <v>277</v>
      </c>
      <c r="C165" s="61">
        <f>C164</f>
        <v>833656670.61000001</v>
      </c>
      <c r="D165" s="62">
        <f>C164*1.0234</f>
        <v>853164236.70227408</v>
      </c>
      <c r="E165" s="62">
        <f>C164*1.0468</f>
        <v>872671802.79454803</v>
      </c>
      <c r="F165" s="62">
        <f>C164*1.072</f>
        <v>893679950.89392006</v>
      </c>
      <c r="G165" s="62">
        <f>C164*1.0936</f>
        <v>911686934.97909594</v>
      </c>
      <c r="H165" s="28"/>
      <c r="I165" s="10"/>
      <c r="J165" s="10"/>
      <c r="K165" s="29"/>
      <c r="L165" s="10"/>
      <c r="M165" s="29"/>
      <c r="N165" s="29"/>
      <c r="O165" s="29"/>
      <c r="P165" s="29"/>
      <c r="Q165" s="29"/>
      <c r="R165" s="29"/>
      <c r="S165" s="10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</row>
    <row r="166" spans="1:33" ht="28.8" x14ac:dyDescent="0.3">
      <c r="A166" s="29"/>
      <c r="B166" s="27" t="s">
        <v>278</v>
      </c>
      <c r="C166" s="10">
        <v>1</v>
      </c>
      <c r="D166" s="10">
        <f>D163/D165</f>
        <v>1.0065728957291993</v>
      </c>
      <c r="E166" s="10">
        <f>E163/E165</f>
        <v>1.1173869705855151</v>
      </c>
      <c r="F166" s="10">
        <f>F163/F165</f>
        <v>0.90825911333032472</v>
      </c>
      <c r="G166" s="63">
        <f>G163/G165</f>
        <v>1.0478568901855596</v>
      </c>
      <c r="H166" s="28"/>
      <c r="I166" s="10"/>
      <c r="J166" s="10"/>
      <c r="K166" s="29"/>
      <c r="L166" s="10"/>
      <c r="M166" s="29"/>
      <c r="N166" s="29"/>
      <c r="O166" s="29"/>
      <c r="P166" s="29"/>
      <c r="Q166" s="29"/>
      <c r="R166" s="29"/>
      <c r="S166" s="10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</row>
    <row r="167" spans="1:33" ht="31.8" customHeight="1" x14ac:dyDescent="0.3">
      <c r="A167" s="55" t="s">
        <v>259</v>
      </c>
      <c r="B167" s="1"/>
      <c r="C167" t="s">
        <v>264</v>
      </c>
      <c r="D167" t="s">
        <v>263</v>
      </c>
      <c r="E167" t="s">
        <v>262</v>
      </c>
      <c r="F167" t="s">
        <v>261</v>
      </c>
      <c r="G167" t="s">
        <v>260</v>
      </c>
      <c r="M167"/>
      <c r="S167"/>
      <c r="AA167"/>
    </row>
    <row r="168" spans="1:33" ht="31.8" customHeight="1" x14ac:dyDescent="0.3">
      <c r="A168" s="55"/>
      <c r="B168" s="1"/>
      <c r="M168"/>
      <c r="S168"/>
      <c r="AA168"/>
    </row>
    <row r="169" spans="1:33" ht="31.8" customHeight="1" x14ac:dyDescent="0.3">
      <c r="A169" s="55"/>
      <c r="B169" s="1"/>
      <c r="M169"/>
      <c r="S169"/>
      <c r="AA169"/>
    </row>
    <row r="170" spans="1:33" ht="31.8" customHeight="1" x14ac:dyDescent="0.3">
      <c r="A170" s="55"/>
      <c r="B170" s="1"/>
      <c r="M170"/>
      <c r="S170"/>
      <c r="AA170"/>
    </row>
    <row r="171" spans="1:33" ht="42.6" customHeight="1" x14ac:dyDescent="0.3">
      <c r="A171" s="55"/>
      <c r="B171" s="1" t="s">
        <v>266</v>
      </c>
      <c r="M171"/>
      <c r="S171"/>
      <c r="AA171"/>
    </row>
    <row r="172" spans="1:33" ht="79.2" customHeight="1" x14ac:dyDescent="0.3">
      <c r="A172" s="55"/>
      <c r="B172" s="11" t="s">
        <v>267</v>
      </c>
      <c r="C172" s="11" t="s">
        <v>269</v>
      </c>
      <c r="D172" s="57" t="s">
        <v>268</v>
      </c>
      <c r="E172" s="11" t="s">
        <v>270</v>
      </c>
      <c r="M172"/>
      <c r="S172"/>
      <c r="AA172"/>
    </row>
    <row r="173" spans="1:33" ht="31.8" customHeight="1" x14ac:dyDescent="0.3">
      <c r="A173" s="55"/>
      <c r="B173" s="48">
        <f>C163</f>
        <v>833656670.61000001</v>
      </c>
      <c r="C173" s="58">
        <f>B173*1.0969</f>
        <v>914438001.99210906</v>
      </c>
      <c r="D173" s="48">
        <f>G163</f>
        <v>955317436.50999999</v>
      </c>
      <c r="E173" s="49">
        <f>D173/C173</f>
        <v>1.0447044353240293</v>
      </c>
      <c r="M173"/>
      <c r="S173"/>
      <c r="AA173"/>
    </row>
    <row r="174" spans="1:33" x14ac:dyDescent="0.3">
      <c r="B174" s="1"/>
      <c r="M174"/>
      <c r="S174"/>
      <c r="AA174"/>
    </row>
    <row r="175" spans="1:33" x14ac:dyDescent="0.3">
      <c r="B175" s="25" t="s">
        <v>246</v>
      </c>
      <c r="F175" t="s">
        <v>247</v>
      </c>
      <c r="M175"/>
      <c r="S175"/>
      <c r="AA175"/>
    </row>
    <row r="176" spans="1:33" ht="57.6" x14ac:dyDescent="0.3">
      <c r="B176" s="11" t="s">
        <v>223</v>
      </c>
      <c r="C176" s="12" t="s">
        <v>224</v>
      </c>
      <c r="D176" s="13" t="s">
        <v>225</v>
      </c>
      <c r="F176" s="52" t="s">
        <v>248</v>
      </c>
      <c r="G176" s="47" t="s">
        <v>249</v>
      </c>
      <c r="H176" s="9"/>
      <c r="M176"/>
      <c r="S176"/>
      <c r="AA176"/>
    </row>
    <row r="177" spans="2:27" ht="72" x14ac:dyDescent="0.3">
      <c r="B177" s="14" t="s">
        <v>226</v>
      </c>
      <c r="C177" s="17">
        <f>C181-C178-C179-C180</f>
        <v>27</v>
      </c>
      <c r="D177" s="16">
        <f>C177/C181</f>
        <v>0.32926829268292684</v>
      </c>
      <c r="F177" s="52" t="s">
        <v>250</v>
      </c>
      <c r="G177" s="47" t="s">
        <v>251</v>
      </c>
      <c r="M177"/>
      <c r="S177"/>
      <c r="AA177"/>
    </row>
    <row r="178" spans="2:27" ht="43.2" customHeight="1" x14ac:dyDescent="0.3">
      <c r="B178" s="14" t="s">
        <v>227</v>
      </c>
      <c r="C178" s="17">
        <f>COUNTIF(U5:U181, "75-90%")</f>
        <v>21</v>
      </c>
      <c r="D178" s="16">
        <f>C178/C181</f>
        <v>0.25609756097560976</v>
      </c>
      <c r="M178"/>
      <c r="S178"/>
      <c r="AA178"/>
    </row>
    <row r="179" spans="2:27" x14ac:dyDescent="0.3">
      <c r="B179" s="18" t="s">
        <v>228</v>
      </c>
      <c r="C179" s="15">
        <f>COUNTIF(U5:U181, "90-99%")</f>
        <v>28</v>
      </c>
      <c r="D179" s="16">
        <f>C179/C181</f>
        <v>0.34146341463414637</v>
      </c>
      <c r="F179" t="s">
        <v>252</v>
      </c>
      <c r="M179"/>
      <c r="S179"/>
      <c r="AA179"/>
    </row>
    <row r="180" spans="2:27" ht="29.4" customHeight="1" thickBot="1" x14ac:dyDescent="0.35">
      <c r="B180" s="19">
        <v>1</v>
      </c>
      <c r="C180" s="20">
        <f>COUNTIF(U5:U181, "100%")</f>
        <v>6</v>
      </c>
      <c r="D180" s="21">
        <f>C180/C181</f>
        <v>7.3170731707317069E-2</v>
      </c>
      <c r="F180" s="47" t="s">
        <v>0</v>
      </c>
      <c r="G180" s="47" t="s">
        <v>2</v>
      </c>
      <c r="H180" s="47" t="s">
        <v>6</v>
      </c>
      <c r="I180" s="52" t="s">
        <v>254</v>
      </c>
      <c r="J180" s="1"/>
      <c r="K180" s="1"/>
      <c r="L180" s="1"/>
      <c r="M180" s="1"/>
      <c r="N180" s="26"/>
      <c r="S180"/>
      <c r="AA180"/>
    </row>
    <row r="181" spans="2:27" x14ac:dyDescent="0.3">
      <c r="B181" s="22" t="s">
        <v>7</v>
      </c>
      <c r="C181" s="23">
        <f>M163</f>
        <v>82</v>
      </c>
      <c r="D181" s="24">
        <f>C181/C181</f>
        <v>1</v>
      </c>
      <c r="F181" s="47" t="s">
        <v>180</v>
      </c>
      <c r="G181" s="48">
        <v>2704000</v>
      </c>
      <c r="H181" s="48">
        <v>1416900</v>
      </c>
      <c r="I181" s="49">
        <f>H181/G181</f>
        <v>0.52400147928994079</v>
      </c>
      <c r="J181" s="1"/>
      <c r="K181" s="1"/>
      <c r="L181" s="1"/>
      <c r="M181" s="1"/>
      <c r="S181"/>
      <c r="AA181"/>
    </row>
    <row r="182" spans="2:27" x14ac:dyDescent="0.3">
      <c r="B182" s="1"/>
      <c r="F182" s="47" t="s">
        <v>162</v>
      </c>
      <c r="G182" s="48">
        <v>6420000</v>
      </c>
      <c r="H182" s="48">
        <v>3433000</v>
      </c>
      <c r="I182" s="49">
        <f>H182/G182</f>
        <v>0.53473520249221185</v>
      </c>
      <c r="M182"/>
      <c r="S182"/>
      <c r="AA182"/>
    </row>
    <row r="183" spans="2:27" x14ac:dyDescent="0.3">
      <c r="B183" s="25" t="s">
        <v>244</v>
      </c>
      <c r="F183" s="47" t="s">
        <v>45</v>
      </c>
      <c r="G183" s="48">
        <v>276000</v>
      </c>
      <c r="H183" s="48">
        <v>150000</v>
      </c>
      <c r="I183" s="49">
        <f>H183/G183</f>
        <v>0.54347826086956519</v>
      </c>
      <c r="M183"/>
      <c r="S183"/>
      <c r="AA183"/>
    </row>
    <row r="184" spans="2:27" ht="43.2" x14ac:dyDescent="0.3">
      <c r="B184" s="56" t="s">
        <v>258</v>
      </c>
      <c r="C184" s="11" t="s">
        <v>257</v>
      </c>
      <c r="F184" s="47" t="s">
        <v>94</v>
      </c>
      <c r="G184" s="50">
        <v>688900</v>
      </c>
      <c r="H184" s="50">
        <v>445900</v>
      </c>
      <c r="I184" s="49">
        <f>H184/G184</f>
        <v>0.64726375381042245</v>
      </c>
      <c r="M184"/>
      <c r="S184"/>
      <c r="AA184"/>
    </row>
    <row r="185" spans="2:27" x14ac:dyDescent="0.3">
      <c r="B185" s="11" t="s">
        <v>30</v>
      </c>
      <c r="C185" s="49">
        <v>0.15005272689129479</v>
      </c>
      <c r="F185" s="47" t="s">
        <v>60</v>
      </c>
      <c r="G185" s="51">
        <v>8611076</v>
      </c>
      <c r="H185" s="51">
        <v>5652759.7400000002</v>
      </c>
      <c r="I185" s="49">
        <f>H185/G185</f>
        <v>0.65645219482443307</v>
      </c>
      <c r="M185"/>
      <c r="S185"/>
      <c r="AA185"/>
    </row>
    <row r="186" spans="2:27" x14ac:dyDescent="0.3">
      <c r="B186" s="11" t="s">
        <v>51</v>
      </c>
      <c r="C186" s="49">
        <v>0.4254505251520177</v>
      </c>
      <c r="M186"/>
      <c r="S186"/>
      <c r="AA186"/>
    </row>
    <row r="187" spans="2:27" x14ac:dyDescent="0.3">
      <c r="B187" s="11" t="s">
        <v>207</v>
      </c>
      <c r="C187" s="49">
        <v>0.4276977877241771</v>
      </c>
      <c r="F187" t="s">
        <v>253</v>
      </c>
      <c r="M187"/>
      <c r="S187"/>
      <c r="AA187"/>
    </row>
    <row r="188" spans="2:27" x14ac:dyDescent="0.3">
      <c r="B188" s="11" t="s">
        <v>155</v>
      </c>
      <c r="C188" s="49">
        <v>0.465484015711083</v>
      </c>
      <c r="F188" s="47" t="s">
        <v>0</v>
      </c>
      <c r="G188" s="47" t="s">
        <v>2</v>
      </c>
      <c r="H188" s="47" t="s">
        <v>6</v>
      </c>
      <c r="I188" s="52" t="s">
        <v>254</v>
      </c>
      <c r="M188"/>
      <c r="S188"/>
      <c r="AA188"/>
    </row>
    <row r="189" spans="2:27" x14ac:dyDescent="0.3">
      <c r="B189" s="11" t="s">
        <v>13</v>
      </c>
      <c r="C189" s="49">
        <v>0.4966666666666667</v>
      </c>
      <c r="F189" s="47" t="s">
        <v>255</v>
      </c>
      <c r="G189" s="48">
        <v>107149</v>
      </c>
      <c r="H189" s="48">
        <v>850000</v>
      </c>
      <c r="I189" s="49">
        <f>H189/G189</f>
        <v>7.9328785149651422</v>
      </c>
      <c r="M189"/>
      <c r="S189"/>
      <c r="AA189"/>
    </row>
    <row r="190" spans="2:27" x14ac:dyDescent="0.3">
      <c r="B190" s="11" t="s">
        <v>179</v>
      </c>
      <c r="C190" s="49">
        <v>0.49773455721993604</v>
      </c>
      <c r="F190" s="47" t="s">
        <v>20</v>
      </c>
      <c r="G190" s="48">
        <v>877800</v>
      </c>
      <c r="H190" s="48">
        <v>2496483</v>
      </c>
      <c r="I190" s="49">
        <f>H190/G190</f>
        <v>2.8440225563909776</v>
      </c>
      <c r="M190"/>
      <c r="S190"/>
      <c r="AA190"/>
    </row>
    <row r="191" spans="2:27" x14ac:dyDescent="0.3">
      <c r="B191" s="11" t="s">
        <v>171</v>
      </c>
      <c r="C191" s="49">
        <v>0.51072198496945465</v>
      </c>
      <c r="F191" s="47" t="s">
        <v>159</v>
      </c>
      <c r="G191" s="48">
        <v>10098325</v>
      </c>
      <c r="H191" s="48">
        <v>26762726</v>
      </c>
      <c r="I191" s="49">
        <f>H191/G191</f>
        <v>2.6502143672341698</v>
      </c>
      <c r="M191"/>
      <c r="S191"/>
      <c r="AA191"/>
    </row>
    <row r="192" spans="2:27" x14ac:dyDescent="0.3">
      <c r="B192" s="11" t="s">
        <v>19</v>
      </c>
      <c r="C192" s="49">
        <v>0.51600000000000001</v>
      </c>
      <c r="F192" s="47" t="s">
        <v>73</v>
      </c>
      <c r="G192" s="48">
        <v>4591000</v>
      </c>
      <c r="H192" s="48">
        <v>11673000</v>
      </c>
      <c r="I192" s="49">
        <f>H192/G192</f>
        <v>2.5425833151818775</v>
      </c>
      <c r="M192"/>
      <c r="S192"/>
      <c r="AA192"/>
    </row>
    <row r="193" spans="2:27" x14ac:dyDescent="0.3">
      <c r="B193" s="11" t="s">
        <v>55</v>
      </c>
      <c r="C193" s="49">
        <v>0.51792021665838006</v>
      </c>
      <c r="F193" s="47" t="s">
        <v>27</v>
      </c>
      <c r="G193" s="48">
        <f>901000+6183000</f>
        <v>7084000</v>
      </c>
      <c r="H193" s="48">
        <f>16666000+239000</f>
        <v>16905000</v>
      </c>
      <c r="I193" s="49">
        <f>H193/G193</f>
        <v>2.3863636363636362</v>
      </c>
      <c r="M193"/>
      <c r="S193"/>
      <c r="AA193"/>
    </row>
    <row r="194" spans="2:27" x14ac:dyDescent="0.3">
      <c r="B194" s="11" t="s">
        <v>23</v>
      </c>
      <c r="C194" s="49">
        <v>0.5272296552524558</v>
      </c>
      <c r="F194" t="s">
        <v>256</v>
      </c>
      <c r="M194"/>
      <c r="S194"/>
      <c r="AA194"/>
    </row>
    <row r="195" spans="2:27" x14ac:dyDescent="0.3">
      <c r="B195" s="1"/>
      <c r="M195"/>
      <c r="S195"/>
      <c r="AA195"/>
    </row>
    <row r="196" spans="2:27" x14ac:dyDescent="0.3">
      <c r="B196" s="25" t="s">
        <v>245</v>
      </c>
      <c r="M196"/>
      <c r="S196"/>
      <c r="AA196"/>
    </row>
    <row r="197" spans="2:27" ht="43.2" x14ac:dyDescent="0.3">
      <c r="B197" s="56" t="s">
        <v>258</v>
      </c>
      <c r="C197" s="11" t="s">
        <v>257</v>
      </c>
      <c r="M197"/>
      <c r="S197"/>
      <c r="AA197"/>
    </row>
    <row r="198" spans="2:27" ht="43.2" x14ac:dyDescent="0.3">
      <c r="B198" s="11" t="s">
        <v>95</v>
      </c>
      <c r="C198" s="49">
        <v>1</v>
      </c>
      <c r="M198"/>
      <c r="S198"/>
      <c r="AA198"/>
    </row>
    <row r="199" spans="2:27" x14ac:dyDescent="0.3">
      <c r="B199" s="11" t="s">
        <v>105</v>
      </c>
      <c r="C199" s="49">
        <v>1</v>
      </c>
      <c r="M199"/>
      <c r="S199"/>
      <c r="AA199"/>
    </row>
    <row r="200" spans="2:27" x14ac:dyDescent="0.3">
      <c r="B200" s="11" t="s">
        <v>124</v>
      </c>
      <c r="C200" s="49">
        <v>1</v>
      </c>
      <c r="M200"/>
      <c r="S200"/>
      <c r="AA200"/>
    </row>
    <row r="201" spans="2:27" x14ac:dyDescent="0.3">
      <c r="B201" s="47" t="s">
        <v>82</v>
      </c>
      <c r="C201" s="49">
        <v>1</v>
      </c>
      <c r="M201"/>
      <c r="S201"/>
      <c r="AA201"/>
    </row>
    <row r="202" spans="2:27" x14ac:dyDescent="0.3">
      <c r="B202" s="47" t="s">
        <v>93</v>
      </c>
      <c r="C202" s="49">
        <v>1</v>
      </c>
      <c r="M202"/>
      <c r="S202"/>
      <c r="AA202"/>
    </row>
    <row r="203" spans="2:27" x14ac:dyDescent="0.3">
      <c r="B203" s="47" t="s">
        <v>135</v>
      </c>
      <c r="C203" s="49">
        <v>1</v>
      </c>
      <c r="M203"/>
      <c r="S203"/>
      <c r="AA203"/>
    </row>
    <row r="204" spans="2:27" x14ac:dyDescent="0.3">
      <c r="B204" s="47" t="s">
        <v>116</v>
      </c>
      <c r="C204" s="49">
        <v>0.99462799999999996</v>
      </c>
      <c r="M204"/>
      <c r="S204"/>
      <c r="AA204"/>
    </row>
    <row r="205" spans="2:27" x14ac:dyDescent="0.3">
      <c r="B205" s="47" t="s">
        <v>90</v>
      </c>
      <c r="C205" s="49">
        <v>0.99177999999999999</v>
      </c>
      <c r="M205"/>
      <c r="S205"/>
      <c r="AA205"/>
    </row>
    <row r="206" spans="2:27" x14ac:dyDescent="0.3">
      <c r="B206" s="47" t="s">
        <v>46</v>
      </c>
      <c r="C206" s="49">
        <v>0.99</v>
      </c>
      <c r="M206"/>
      <c r="S206"/>
      <c r="AA206"/>
    </row>
    <row r="207" spans="2:27" x14ac:dyDescent="0.3">
      <c r="B207" s="47" t="s">
        <v>68</v>
      </c>
      <c r="C207" s="49">
        <v>0.98812</v>
      </c>
      <c r="M207"/>
      <c r="S207"/>
      <c r="AA207"/>
    </row>
    <row r="208" spans="2:27" x14ac:dyDescent="0.3">
      <c r="M208"/>
      <c r="S208"/>
      <c r="AA208"/>
    </row>
    <row r="209" spans="2:27" x14ac:dyDescent="0.3">
      <c r="M209"/>
      <c r="S209"/>
      <c r="AA209"/>
    </row>
    <row r="210" spans="2:27" x14ac:dyDescent="0.3">
      <c r="B210" s="1"/>
      <c r="M210"/>
      <c r="S210"/>
      <c r="AA210"/>
    </row>
    <row r="211" spans="2:27" x14ac:dyDescent="0.3">
      <c r="B211" s="1"/>
      <c r="M211"/>
      <c r="S211"/>
      <c r="AA211"/>
    </row>
    <row r="212" spans="2:27" x14ac:dyDescent="0.3">
      <c r="B212" s="1"/>
      <c r="M212"/>
      <c r="S212"/>
      <c r="AA212"/>
    </row>
    <row r="213" spans="2:27" x14ac:dyDescent="0.3">
      <c r="B213" s="1"/>
      <c r="M213"/>
      <c r="S213"/>
      <c r="AA213"/>
    </row>
    <row r="214" spans="2:27" x14ac:dyDescent="0.3">
      <c r="B214" s="1"/>
      <c r="M214"/>
      <c r="S214"/>
      <c r="AA214"/>
    </row>
    <row r="215" spans="2:27" x14ac:dyDescent="0.3">
      <c r="B215" s="1"/>
      <c r="M215"/>
      <c r="S215"/>
      <c r="AA215"/>
    </row>
    <row r="216" spans="2:27" x14ac:dyDescent="0.3">
      <c r="B216" s="1"/>
      <c r="M216"/>
      <c r="S216"/>
      <c r="AA216"/>
    </row>
    <row r="217" spans="2:27" x14ac:dyDescent="0.3">
      <c r="B217" s="1"/>
      <c r="M217"/>
      <c r="S217"/>
      <c r="AA217"/>
    </row>
    <row r="218" spans="2:27" x14ac:dyDescent="0.3">
      <c r="B218" s="1"/>
      <c r="M218"/>
      <c r="S218"/>
      <c r="AA218"/>
    </row>
    <row r="219" spans="2:27" x14ac:dyDescent="0.3">
      <c r="B219" s="1"/>
      <c r="M219"/>
      <c r="S219"/>
      <c r="AA219"/>
    </row>
    <row r="220" spans="2:27" x14ac:dyDescent="0.3">
      <c r="B220" s="1"/>
      <c r="M220"/>
      <c r="S220"/>
      <c r="AA220"/>
    </row>
    <row r="221" spans="2:27" x14ac:dyDescent="0.3">
      <c r="B221" s="1"/>
      <c r="M221"/>
      <c r="S221"/>
      <c r="AA221"/>
    </row>
    <row r="222" spans="2:27" x14ac:dyDescent="0.3">
      <c r="B222" s="1"/>
      <c r="M222"/>
      <c r="S222"/>
      <c r="AA222"/>
    </row>
    <row r="223" spans="2:27" x14ac:dyDescent="0.3">
      <c r="B223" s="1"/>
      <c r="M223"/>
      <c r="S223"/>
      <c r="AA223"/>
    </row>
    <row r="224" spans="2:27" x14ac:dyDescent="0.3">
      <c r="B224" s="1"/>
      <c r="M224"/>
      <c r="S224"/>
      <c r="AA224"/>
    </row>
    <row r="225" spans="2:27" x14ac:dyDescent="0.3">
      <c r="B225" s="1"/>
      <c r="M225"/>
      <c r="S225"/>
      <c r="AA225"/>
    </row>
    <row r="226" spans="2:27" x14ac:dyDescent="0.3">
      <c r="B226" s="1"/>
      <c r="M226"/>
      <c r="S226"/>
      <c r="AA226"/>
    </row>
    <row r="227" spans="2:27" x14ac:dyDescent="0.3">
      <c r="B227" s="1"/>
      <c r="M227"/>
      <c r="S227"/>
      <c r="AA227"/>
    </row>
    <row r="228" spans="2:27" x14ac:dyDescent="0.3">
      <c r="B228" s="1"/>
      <c r="M228"/>
      <c r="S228"/>
      <c r="AA228"/>
    </row>
    <row r="229" spans="2:27" x14ac:dyDescent="0.3">
      <c r="B229" s="1"/>
      <c r="M229"/>
      <c r="S229"/>
      <c r="AA229"/>
    </row>
    <row r="230" spans="2:27" x14ac:dyDescent="0.3">
      <c r="B230" s="1"/>
      <c r="M230"/>
      <c r="S230"/>
      <c r="AA230"/>
    </row>
    <row r="231" spans="2:27" x14ac:dyDescent="0.3">
      <c r="B231" s="1"/>
      <c r="M231"/>
      <c r="S231"/>
      <c r="AA231"/>
    </row>
    <row r="232" spans="2:27" x14ac:dyDescent="0.3">
      <c r="B232" s="1"/>
      <c r="M232"/>
      <c r="S232"/>
      <c r="AA232"/>
    </row>
    <row r="233" spans="2:27" x14ac:dyDescent="0.3">
      <c r="B233" s="1"/>
      <c r="M233"/>
      <c r="S233"/>
      <c r="AA233"/>
    </row>
    <row r="234" spans="2:27" x14ac:dyDescent="0.3">
      <c r="B234" s="1"/>
      <c r="M234"/>
      <c r="S234"/>
      <c r="AA234"/>
    </row>
    <row r="235" spans="2:27" x14ac:dyDescent="0.3">
      <c r="B235" s="1"/>
      <c r="M235"/>
      <c r="S235"/>
      <c r="AA235"/>
    </row>
    <row r="236" spans="2:27" x14ac:dyDescent="0.3">
      <c r="B236" s="1"/>
      <c r="M236"/>
      <c r="S236"/>
      <c r="AA236"/>
    </row>
    <row r="237" spans="2:27" x14ac:dyDescent="0.3">
      <c r="B237" s="1"/>
      <c r="M237"/>
      <c r="S237"/>
      <c r="AA237"/>
    </row>
    <row r="238" spans="2:27" x14ac:dyDescent="0.3">
      <c r="B238" s="1"/>
      <c r="M238"/>
      <c r="S238"/>
      <c r="AA238"/>
    </row>
    <row r="239" spans="2:27" x14ac:dyDescent="0.3">
      <c r="B239" s="1"/>
      <c r="M239"/>
      <c r="S239"/>
      <c r="AA239"/>
    </row>
    <row r="240" spans="2:27" x14ac:dyDescent="0.3">
      <c r="B240" s="1"/>
      <c r="M240"/>
      <c r="S240"/>
      <c r="AA240"/>
    </row>
    <row r="241" spans="2:27" x14ac:dyDescent="0.3">
      <c r="B241" s="1"/>
      <c r="M241"/>
      <c r="S241"/>
      <c r="AA241"/>
    </row>
    <row r="242" spans="2:27" x14ac:dyDescent="0.3">
      <c r="B242" s="1"/>
      <c r="M242"/>
      <c r="S242"/>
      <c r="AA242"/>
    </row>
    <row r="243" spans="2:27" x14ac:dyDescent="0.3">
      <c r="B243" s="1"/>
      <c r="M243"/>
      <c r="S243"/>
      <c r="AA243"/>
    </row>
    <row r="244" spans="2:27" x14ac:dyDescent="0.3">
      <c r="B244" s="1"/>
      <c r="M244"/>
      <c r="S244"/>
      <c r="AA244"/>
    </row>
    <row r="245" spans="2:27" x14ac:dyDescent="0.3">
      <c r="B245" s="1"/>
      <c r="M245"/>
      <c r="S245"/>
      <c r="AA245"/>
    </row>
    <row r="246" spans="2:27" x14ac:dyDescent="0.3">
      <c r="B246" s="1"/>
      <c r="M246"/>
      <c r="S246"/>
      <c r="AA246"/>
    </row>
    <row r="247" spans="2:27" x14ac:dyDescent="0.3">
      <c r="B247" s="1"/>
      <c r="M247"/>
      <c r="S247"/>
      <c r="AA247"/>
    </row>
    <row r="248" spans="2:27" x14ac:dyDescent="0.3">
      <c r="B248" s="1"/>
      <c r="M248"/>
      <c r="S248"/>
      <c r="AA248"/>
    </row>
    <row r="249" spans="2:27" x14ac:dyDescent="0.3">
      <c r="B249" s="1"/>
      <c r="M249"/>
      <c r="S249"/>
      <c r="AA249"/>
    </row>
    <row r="250" spans="2:27" x14ac:dyDescent="0.3">
      <c r="B250" s="1"/>
      <c r="M250"/>
      <c r="S250"/>
      <c r="AA250"/>
    </row>
    <row r="251" spans="2:27" x14ac:dyDescent="0.3">
      <c r="B251" s="1"/>
      <c r="M251"/>
      <c r="S251"/>
      <c r="AA251"/>
    </row>
    <row r="252" spans="2:27" x14ac:dyDescent="0.3">
      <c r="B252" s="1"/>
      <c r="M252"/>
      <c r="S252"/>
      <c r="AA252"/>
    </row>
    <row r="253" spans="2:27" x14ac:dyDescent="0.3">
      <c r="B253" s="1"/>
      <c r="M253"/>
      <c r="S253"/>
      <c r="AA253"/>
    </row>
    <row r="254" spans="2:27" x14ac:dyDescent="0.3">
      <c r="B254" s="1"/>
      <c r="M254"/>
      <c r="S254"/>
      <c r="AA254"/>
    </row>
    <row r="255" spans="2:27" x14ac:dyDescent="0.3">
      <c r="B255" s="1"/>
      <c r="M255"/>
      <c r="S255"/>
      <c r="AA255"/>
    </row>
    <row r="256" spans="2:27" x14ac:dyDescent="0.3">
      <c r="B256" s="1"/>
      <c r="M256"/>
      <c r="S256"/>
      <c r="AA256"/>
    </row>
    <row r="257" spans="2:27" x14ac:dyDescent="0.3">
      <c r="B257" s="1"/>
      <c r="M257"/>
      <c r="S257"/>
      <c r="AA257"/>
    </row>
    <row r="258" spans="2:27" x14ac:dyDescent="0.3">
      <c r="B258" s="1"/>
      <c r="M258"/>
      <c r="S258"/>
      <c r="AA258"/>
    </row>
    <row r="259" spans="2:27" x14ac:dyDescent="0.3">
      <c r="B259" s="1"/>
      <c r="M259"/>
      <c r="S259"/>
      <c r="AA259"/>
    </row>
    <row r="260" spans="2:27" x14ac:dyDescent="0.3">
      <c r="B260" s="1"/>
      <c r="M260"/>
      <c r="S260"/>
      <c r="AA260"/>
    </row>
    <row r="261" spans="2:27" x14ac:dyDescent="0.3">
      <c r="B261" s="1"/>
      <c r="M261"/>
      <c r="S261"/>
      <c r="AA261"/>
    </row>
    <row r="262" spans="2:27" x14ac:dyDescent="0.3">
      <c r="B262" s="1"/>
      <c r="M262"/>
      <c r="S262"/>
      <c r="AA262"/>
    </row>
    <row r="263" spans="2:27" x14ac:dyDescent="0.3">
      <c r="B263" s="1"/>
      <c r="M263"/>
      <c r="S263"/>
      <c r="AA263"/>
    </row>
    <row r="264" spans="2:27" x14ac:dyDescent="0.3">
      <c r="B264" s="1"/>
      <c r="M264"/>
      <c r="S264"/>
      <c r="AA264"/>
    </row>
    <row r="265" spans="2:27" x14ac:dyDescent="0.3">
      <c r="B265" s="1"/>
      <c r="M265"/>
      <c r="S265"/>
      <c r="AA265"/>
    </row>
    <row r="266" spans="2:27" x14ac:dyDescent="0.3">
      <c r="B266" s="1"/>
      <c r="M266"/>
      <c r="S266"/>
      <c r="AA266"/>
    </row>
    <row r="267" spans="2:27" x14ac:dyDescent="0.3">
      <c r="B267" s="1"/>
      <c r="M267"/>
      <c r="S267"/>
      <c r="AA267"/>
    </row>
    <row r="268" spans="2:27" x14ac:dyDescent="0.3">
      <c r="B268" s="1"/>
      <c r="M268"/>
      <c r="S268"/>
      <c r="AA268"/>
    </row>
    <row r="269" spans="2:27" x14ac:dyDescent="0.3">
      <c r="B269" s="1"/>
      <c r="M269"/>
      <c r="S269"/>
      <c r="AA269"/>
    </row>
    <row r="270" spans="2:27" x14ac:dyDescent="0.3">
      <c r="M270"/>
      <c r="S270"/>
      <c r="AA270"/>
    </row>
    <row r="271" spans="2:27" x14ac:dyDescent="0.3">
      <c r="M271"/>
      <c r="S271"/>
      <c r="AA271"/>
    </row>
    <row r="272" spans="2:27" x14ac:dyDescent="0.3">
      <c r="M272"/>
      <c r="S272"/>
      <c r="AA272"/>
    </row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</sheetData>
  <autoFilter ref="A4:CF161" xr:uid="{DD88BAF0-3EEA-4156-9AB1-8E8167D33240}">
    <sortState xmlns:xlrd2="http://schemas.microsoft.com/office/spreadsheetml/2017/richdata2" ref="A5:AG161">
      <sortCondition ref="A4:A161"/>
    </sortState>
  </autoFilter>
  <mergeCells count="8">
    <mergeCell ref="B1:H2"/>
    <mergeCell ref="M1:S2"/>
    <mergeCell ref="AB1:AG2"/>
    <mergeCell ref="J1:J3"/>
    <mergeCell ref="K1:K3"/>
    <mergeCell ref="T2:T3"/>
    <mergeCell ref="V1:AA2"/>
    <mergeCell ref="L1:L3"/>
  </mergeCells>
  <conditionalFormatting sqref="B210:B269 B185:B200 B174:B183 B3:B172">
    <cfRule type="cellIs" dxfId="41" priority="12" operator="equal">
      <formula>"Yes"</formula>
    </cfRule>
  </conditionalFormatting>
  <conditionalFormatting sqref="M1 M3:M179 M194:M1048576">
    <cfRule type="cellIs" dxfId="40" priority="6" operator="equal">
      <formula>"Partial"</formula>
    </cfRule>
    <cfRule type="cellIs" dxfId="39" priority="7" operator="equal">
      <formula>"Yes"</formula>
    </cfRule>
  </conditionalFormatting>
  <conditionalFormatting sqref="AB1">
    <cfRule type="cellIs" dxfId="38" priority="4" operator="equal">
      <formula>"Partial"</formula>
    </cfRule>
    <cfRule type="cellIs" dxfId="37" priority="5" operator="equal">
      <formula>"Yes"</formula>
    </cfRule>
  </conditionalFormatting>
  <conditionalFormatting sqref="B184">
    <cfRule type="cellIs" dxfId="36" priority="1" operator="equal">
      <formula>"Yes"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AF28-871B-4FC6-9F2F-BD61D53FFC5E}">
  <dimension ref="A4:AG122"/>
  <sheetViews>
    <sheetView topLeftCell="A114" workbookViewId="0">
      <selection activeCell="G120" sqref="G120"/>
    </sheetView>
  </sheetViews>
  <sheetFormatPr defaultRowHeight="14.4" x14ac:dyDescent="0.3"/>
  <cols>
    <col min="1" max="1" width="36.6640625" bestFit="1" customWidth="1"/>
    <col min="2" max="2" width="17" customWidth="1"/>
    <col min="3" max="3" width="14.88671875" bestFit="1" customWidth="1"/>
    <col min="4" max="7" width="15.88671875" bestFit="1" customWidth="1"/>
    <col min="8" max="8" width="16" bestFit="1" customWidth="1"/>
    <col min="11" max="11" width="14.5546875" bestFit="1" customWidth="1"/>
  </cols>
  <sheetData>
    <row r="4" spans="1:33" x14ac:dyDescent="0.3">
      <c r="B4" s="1"/>
      <c r="C4" s="28"/>
      <c r="D4" s="28"/>
      <c r="E4" s="28"/>
      <c r="F4" s="28"/>
      <c r="G4" s="28"/>
      <c r="H4" s="2"/>
      <c r="I4" s="6"/>
      <c r="K4" s="2"/>
      <c r="M4" s="7"/>
      <c r="N4" s="6"/>
      <c r="O4" s="6"/>
      <c r="P4" s="6"/>
      <c r="Q4" s="6"/>
      <c r="R4" s="6"/>
      <c r="S4" s="8"/>
      <c r="T4" s="9"/>
      <c r="V4" s="7"/>
      <c r="W4" s="7"/>
      <c r="X4" s="7"/>
      <c r="Y4" s="7"/>
      <c r="Z4" s="7"/>
      <c r="AA4" s="7"/>
      <c r="AG4" s="7"/>
    </row>
    <row r="5" spans="1:33" x14ac:dyDescent="0.3">
      <c r="A5" t="s">
        <v>13</v>
      </c>
      <c r="B5" s="1"/>
      <c r="C5" s="2"/>
      <c r="D5" s="2"/>
      <c r="E5" s="2"/>
      <c r="F5" s="2"/>
      <c r="G5" s="2"/>
      <c r="H5" s="2"/>
      <c r="I5" s="6"/>
      <c r="J5" t="b">
        <v>0</v>
      </c>
      <c r="K5" s="2">
        <v>0</v>
      </c>
      <c r="L5" t="b">
        <v>0</v>
      </c>
      <c r="M5" s="7" t="s">
        <v>12</v>
      </c>
      <c r="N5" s="6"/>
      <c r="O5" s="6"/>
      <c r="P5" s="6">
        <v>0.47</v>
      </c>
      <c r="Q5" s="6">
        <v>0.44</v>
      </c>
      <c r="R5" s="6">
        <v>0.57999999999999996</v>
      </c>
      <c r="S5" s="8">
        <v>0.4966666666666667</v>
      </c>
      <c r="T5" s="9">
        <v>0.4966666666666667</v>
      </c>
      <c r="U5" t="s">
        <v>235</v>
      </c>
      <c r="V5" s="7">
        <v>0</v>
      </c>
      <c r="W5" s="7">
        <v>0</v>
      </c>
      <c r="X5" s="7">
        <v>5600</v>
      </c>
      <c r="Y5" s="7">
        <v>5416</v>
      </c>
      <c r="Z5" s="7">
        <v>2822</v>
      </c>
      <c r="AA5" s="7">
        <v>13838</v>
      </c>
      <c r="AG5" s="7">
        <v>0</v>
      </c>
    </row>
    <row r="6" spans="1:33" x14ac:dyDescent="0.3">
      <c r="A6" t="s">
        <v>14</v>
      </c>
      <c r="B6" s="1" t="s">
        <v>12</v>
      </c>
      <c r="C6" s="38">
        <v>5631250</v>
      </c>
      <c r="D6" s="38">
        <v>6523847</v>
      </c>
      <c r="E6" s="38">
        <v>8946711</v>
      </c>
      <c r="F6" s="38">
        <v>9052294</v>
      </c>
      <c r="G6" s="38">
        <v>5186989</v>
      </c>
      <c r="H6" s="2">
        <v>35341091</v>
      </c>
      <c r="I6" s="6">
        <v>0.92110792452830192</v>
      </c>
      <c r="J6" t="b">
        <v>1</v>
      </c>
      <c r="K6" s="2">
        <v>6176918.125</v>
      </c>
      <c r="L6" t="b">
        <v>1</v>
      </c>
      <c r="M6" s="7" t="s">
        <v>12</v>
      </c>
      <c r="N6" s="6"/>
      <c r="O6" s="6">
        <v>0.97</v>
      </c>
      <c r="P6" s="6">
        <v>0.8</v>
      </c>
      <c r="Q6" s="6">
        <v>0.99</v>
      </c>
      <c r="R6" s="6">
        <v>0.91</v>
      </c>
      <c r="S6" s="8">
        <v>0.91749999999999998</v>
      </c>
      <c r="T6" s="9">
        <v>0.91749999999999998</v>
      </c>
      <c r="U6" t="s">
        <v>228</v>
      </c>
      <c r="V6" s="7"/>
      <c r="W6" s="7">
        <v>503</v>
      </c>
      <c r="X6" s="7">
        <v>1231</v>
      </c>
      <c r="Y6" s="7">
        <v>974</v>
      </c>
      <c r="Z6" s="7">
        <v>913</v>
      </c>
      <c r="AA6" s="7">
        <v>3621</v>
      </c>
      <c r="AG6" s="7">
        <v>0</v>
      </c>
    </row>
    <row r="7" spans="1:33" x14ac:dyDescent="0.3">
      <c r="A7" t="s">
        <v>15</v>
      </c>
      <c r="B7" s="1" t="s">
        <v>12</v>
      </c>
      <c r="C7" s="2">
        <v>2693719</v>
      </c>
      <c r="D7" s="2">
        <v>2141128</v>
      </c>
      <c r="E7" s="2">
        <v>2136721</v>
      </c>
      <c r="F7" s="2">
        <v>2213891</v>
      </c>
      <c r="G7" s="2">
        <v>2383282</v>
      </c>
      <c r="H7" s="2">
        <v>11568741</v>
      </c>
      <c r="I7" s="6">
        <v>0.88475523987468629</v>
      </c>
      <c r="J7" t="b">
        <v>1</v>
      </c>
      <c r="K7" s="2">
        <v>2954740.3711000001</v>
      </c>
      <c r="L7" t="b">
        <v>1</v>
      </c>
      <c r="M7" s="7"/>
      <c r="N7" s="6"/>
      <c r="O7" s="6"/>
      <c r="P7" s="6"/>
      <c r="Q7" s="6"/>
      <c r="R7" s="6"/>
      <c r="S7" s="8"/>
      <c r="T7" s="9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G7" s="7">
        <v>0</v>
      </c>
    </row>
    <row r="8" spans="1:33" x14ac:dyDescent="0.3">
      <c r="A8" t="s">
        <v>16</v>
      </c>
      <c r="B8" s="1"/>
      <c r="I8" s="6"/>
      <c r="J8" t="b">
        <v>0</v>
      </c>
      <c r="K8" s="2">
        <v>0</v>
      </c>
      <c r="L8" t="b">
        <v>0</v>
      </c>
      <c r="M8" s="7" t="s">
        <v>12</v>
      </c>
      <c r="N8" s="6"/>
      <c r="O8" s="6"/>
      <c r="P8" s="6"/>
      <c r="Q8" s="6">
        <v>0.95199999999999996</v>
      </c>
      <c r="R8" s="6">
        <v>0.94199999999999995</v>
      </c>
      <c r="S8" s="8">
        <v>0.94699999999999995</v>
      </c>
      <c r="T8" s="9">
        <v>0.94699999999999995</v>
      </c>
      <c r="U8" t="s">
        <v>228</v>
      </c>
      <c r="V8" s="7">
        <v>0</v>
      </c>
      <c r="W8" s="7">
        <v>0</v>
      </c>
      <c r="X8" s="7">
        <v>0</v>
      </c>
      <c r="Y8" s="7">
        <v>2604</v>
      </c>
      <c r="Z8" s="7">
        <v>2496</v>
      </c>
      <c r="AA8" s="7">
        <v>5100</v>
      </c>
      <c r="AG8" s="7">
        <v>0</v>
      </c>
    </row>
    <row r="9" spans="1:33" x14ac:dyDescent="0.3">
      <c r="A9" t="s">
        <v>17</v>
      </c>
      <c r="B9" s="1" t="s">
        <v>12</v>
      </c>
      <c r="C9" s="2">
        <v>3136110</v>
      </c>
      <c r="D9" s="2">
        <v>3171480</v>
      </c>
      <c r="E9" s="2">
        <v>2960120</v>
      </c>
      <c r="F9" s="2">
        <v>3396897</v>
      </c>
      <c r="G9" s="2">
        <v>2242391</v>
      </c>
      <c r="H9" s="2">
        <v>14906998</v>
      </c>
      <c r="I9" s="6">
        <v>0.71502306998160137</v>
      </c>
      <c r="J9" t="b">
        <v>1</v>
      </c>
      <c r="K9" s="2">
        <v>3439999.0589999999</v>
      </c>
      <c r="L9" t="b">
        <v>1</v>
      </c>
      <c r="M9" s="7"/>
      <c r="N9" s="6"/>
      <c r="O9" s="6"/>
      <c r="P9" s="6"/>
      <c r="Q9" s="6"/>
      <c r="R9" s="6"/>
      <c r="S9" s="8"/>
      <c r="T9" s="9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G9" s="7">
        <v>0</v>
      </c>
    </row>
    <row r="10" spans="1:33" x14ac:dyDescent="0.3">
      <c r="A10" t="s">
        <v>18</v>
      </c>
      <c r="B10" s="1"/>
      <c r="C10" s="2"/>
      <c r="D10" s="2"/>
      <c r="E10" s="2"/>
      <c r="F10" s="2"/>
      <c r="G10" s="2"/>
      <c r="H10" s="2"/>
      <c r="I10" s="6"/>
      <c r="J10" t="b">
        <v>0</v>
      </c>
      <c r="K10" s="2">
        <v>0</v>
      </c>
      <c r="L10" t="b">
        <v>0</v>
      </c>
      <c r="M10" s="7" t="s">
        <v>12</v>
      </c>
      <c r="N10" s="6">
        <v>0.91</v>
      </c>
      <c r="O10" s="6">
        <v>0.92</v>
      </c>
      <c r="P10" s="6">
        <v>0.92</v>
      </c>
      <c r="Q10" s="6">
        <v>0.88</v>
      </c>
      <c r="R10" s="6">
        <v>0.95</v>
      </c>
      <c r="S10" s="8">
        <v>0.91599999999999993</v>
      </c>
      <c r="T10" s="9">
        <v>0.91599999999999993</v>
      </c>
      <c r="U10" t="s">
        <v>228</v>
      </c>
      <c r="V10" s="7">
        <v>1107</v>
      </c>
      <c r="W10" s="7">
        <v>1615</v>
      </c>
      <c r="X10" s="7">
        <v>1498</v>
      </c>
      <c r="Y10" s="7">
        <v>1712</v>
      </c>
      <c r="Z10" s="7">
        <v>1453</v>
      </c>
      <c r="AA10" s="7">
        <v>7385</v>
      </c>
      <c r="AG10" s="7">
        <v>0</v>
      </c>
    </row>
    <row r="11" spans="1:33" x14ac:dyDescent="0.3">
      <c r="A11" t="s">
        <v>19</v>
      </c>
      <c r="B11" s="1" t="s">
        <v>12</v>
      </c>
      <c r="C11" s="3">
        <v>36582681</v>
      </c>
      <c r="D11" s="3">
        <v>40500906</v>
      </c>
      <c r="E11" s="3">
        <v>26862142</v>
      </c>
      <c r="F11" s="3">
        <v>352120</v>
      </c>
      <c r="G11" s="3">
        <v>30642522</v>
      </c>
      <c r="H11" s="2">
        <v>134940371</v>
      </c>
      <c r="I11" s="6">
        <v>0.83762373785562627</v>
      </c>
      <c r="J11" t="b">
        <v>1</v>
      </c>
      <c r="K11" s="2">
        <v>40127542.788900003</v>
      </c>
      <c r="L11" t="b">
        <v>1</v>
      </c>
      <c r="M11" s="7" t="s">
        <v>12</v>
      </c>
      <c r="N11" s="6">
        <v>0.44</v>
      </c>
      <c r="O11" s="6">
        <v>0.45</v>
      </c>
      <c r="P11" s="6">
        <v>0.45</v>
      </c>
      <c r="Q11" s="6">
        <v>0.55000000000000004</v>
      </c>
      <c r="R11" s="6">
        <v>0.69</v>
      </c>
      <c r="S11" s="8">
        <v>0.51600000000000001</v>
      </c>
      <c r="T11" s="9">
        <v>0.51600000000000001</v>
      </c>
      <c r="U11" t="s">
        <v>235</v>
      </c>
      <c r="V11" s="7">
        <v>14036</v>
      </c>
      <c r="W11" s="7">
        <v>10592</v>
      </c>
      <c r="X11" s="7">
        <v>17745</v>
      </c>
      <c r="Y11" s="7">
        <v>10486</v>
      </c>
      <c r="Z11" s="7">
        <v>9352</v>
      </c>
      <c r="AA11" s="7">
        <v>62211</v>
      </c>
      <c r="AG11" s="7">
        <v>0</v>
      </c>
    </row>
    <row r="12" spans="1:33" x14ac:dyDescent="0.3">
      <c r="A12" t="s">
        <v>20</v>
      </c>
      <c r="B12" s="1" t="s">
        <v>12</v>
      </c>
      <c r="C12" s="2">
        <v>877800</v>
      </c>
      <c r="D12" s="2">
        <v>1064634</v>
      </c>
      <c r="E12" s="2">
        <v>1081404</v>
      </c>
      <c r="F12" s="2">
        <v>1172256</v>
      </c>
      <c r="G12" s="2">
        <v>2496483</v>
      </c>
      <c r="H12" s="2">
        <v>6692577</v>
      </c>
      <c r="I12" s="6">
        <v>2.8440225563909776</v>
      </c>
      <c r="J12" t="b">
        <v>0</v>
      </c>
      <c r="K12" s="2">
        <v>962858.82</v>
      </c>
      <c r="L12" t="b">
        <v>0</v>
      </c>
      <c r="M12" s="7"/>
      <c r="N12" s="6"/>
      <c r="O12" s="6"/>
      <c r="P12" s="6"/>
      <c r="Q12" s="6"/>
      <c r="R12" s="6"/>
      <c r="S12" s="8"/>
      <c r="T12" s="9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G12" s="7">
        <v>0</v>
      </c>
    </row>
    <row r="13" spans="1:33" x14ac:dyDescent="0.3">
      <c r="A13" t="s">
        <v>21</v>
      </c>
      <c r="B13" s="1" t="s">
        <v>12</v>
      </c>
      <c r="C13" s="2">
        <v>1605580</v>
      </c>
      <c r="D13" s="2">
        <v>1190558</v>
      </c>
      <c r="E13" s="2">
        <v>1522692</v>
      </c>
      <c r="F13" s="2">
        <v>1301178</v>
      </c>
      <c r="G13" s="2">
        <v>1438302</v>
      </c>
      <c r="H13" s="2">
        <v>7058310</v>
      </c>
      <c r="I13" s="6">
        <v>0.89581459659437712</v>
      </c>
      <c r="J13" t="b">
        <v>1</v>
      </c>
      <c r="K13" s="2">
        <v>1761160.702</v>
      </c>
      <c r="L13" t="b">
        <v>1</v>
      </c>
      <c r="M13" s="7" t="s">
        <v>12</v>
      </c>
      <c r="N13" s="6">
        <v>0.96599999999999997</v>
      </c>
      <c r="O13" s="6">
        <v>0.96599999999999997</v>
      </c>
      <c r="P13" s="6">
        <v>0.91800000000000004</v>
      </c>
      <c r="Q13" s="6">
        <v>0.98699999999999999</v>
      </c>
      <c r="R13" s="6">
        <v>0.92700000000000005</v>
      </c>
      <c r="S13" s="8">
        <v>0.95279999999999998</v>
      </c>
      <c r="T13" s="9">
        <v>0.95279999999999998</v>
      </c>
      <c r="U13" t="s">
        <v>228</v>
      </c>
      <c r="V13" s="7">
        <v>3986</v>
      </c>
      <c r="W13" s="7">
        <v>3118</v>
      </c>
      <c r="X13" s="7">
        <v>3960</v>
      </c>
      <c r="Y13" s="7">
        <v>3267</v>
      </c>
      <c r="Z13" s="7">
        <v>2391</v>
      </c>
      <c r="AA13" s="7">
        <v>16722</v>
      </c>
      <c r="AG13" s="7">
        <v>0</v>
      </c>
    </row>
    <row r="14" spans="1:33" x14ac:dyDescent="0.3">
      <c r="A14" t="s">
        <v>23</v>
      </c>
      <c r="B14" s="1" t="s">
        <v>12</v>
      </c>
      <c r="C14" s="2">
        <v>8176000</v>
      </c>
      <c r="D14" s="2">
        <v>6525000</v>
      </c>
      <c r="E14" s="2">
        <v>5931000</v>
      </c>
      <c r="F14" s="2">
        <v>7468000</v>
      </c>
      <c r="G14" s="2">
        <v>12410000</v>
      </c>
      <c r="H14" s="2">
        <v>40510000</v>
      </c>
      <c r="I14" s="6">
        <v>1.5178571428571428</v>
      </c>
      <c r="J14" t="b">
        <v>0</v>
      </c>
      <c r="K14" s="2">
        <v>8968254.4000000004</v>
      </c>
      <c r="L14" t="b">
        <v>0</v>
      </c>
      <c r="M14" s="7" t="s">
        <v>12</v>
      </c>
      <c r="N14" s="6">
        <v>0.31319776714513559</v>
      </c>
      <c r="O14" s="6">
        <v>0.54301652006007295</v>
      </c>
      <c r="P14" s="6">
        <v>0.44913928012519561</v>
      </c>
      <c r="Q14" s="6">
        <v>0.67223548130469368</v>
      </c>
      <c r="R14" s="6">
        <v>0.65855922762718155</v>
      </c>
      <c r="S14" s="8">
        <v>0.5272296552524558</v>
      </c>
      <c r="T14" s="9">
        <v>0.5272296552524558</v>
      </c>
      <c r="U14" t="s">
        <v>235</v>
      </c>
      <c r="V14" s="7">
        <v>5016</v>
      </c>
      <c r="W14" s="7">
        <v>4661</v>
      </c>
      <c r="X14" s="7">
        <v>7029</v>
      </c>
      <c r="Y14" s="7">
        <v>6285</v>
      </c>
      <c r="Z14" s="7">
        <v>5386</v>
      </c>
      <c r="AA14" s="7">
        <v>28377</v>
      </c>
      <c r="AB14">
        <v>1571</v>
      </c>
      <c r="AC14">
        <v>2531</v>
      </c>
      <c r="AD14">
        <v>3157</v>
      </c>
      <c r="AE14">
        <v>4225</v>
      </c>
      <c r="AF14">
        <v>3547</v>
      </c>
      <c r="AG14" s="7">
        <v>15031</v>
      </c>
    </row>
    <row r="15" spans="1:33" x14ac:dyDescent="0.3">
      <c r="A15" t="s">
        <v>25</v>
      </c>
      <c r="B15" s="1" t="s">
        <v>12</v>
      </c>
      <c r="C15" s="2">
        <v>1556000</v>
      </c>
      <c r="D15" s="2">
        <v>1921310</v>
      </c>
      <c r="E15" s="2">
        <v>2465644</v>
      </c>
      <c r="F15" s="2">
        <v>2005000</v>
      </c>
      <c r="G15" s="2">
        <v>1622000</v>
      </c>
      <c r="H15" s="2">
        <v>9569954</v>
      </c>
      <c r="I15" s="6">
        <v>1.0424164524421593</v>
      </c>
      <c r="J15" t="b">
        <v>0</v>
      </c>
      <c r="K15" s="2">
        <v>1706776.4</v>
      </c>
      <c r="L15" t="b">
        <v>1</v>
      </c>
      <c r="M15" s="7"/>
      <c r="N15" s="6"/>
      <c r="O15" s="6"/>
      <c r="P15" s="6"/>
      <c r="Q15" s="6"/>
      <c r="R15" s="6"/>
      <c r="S15" s="8"/>
      <c r="T15" s="9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G15" s="7">
        <v>0</v>
      </c>
    </row>
    <row r="16" spans="1:33" x14ac:dyDescent="0.3">
      <c r="A16" t="s">
        <v>26</v>
      </c>
      <c r="B16" s="1"/>
      <c r="I16" s="6"/>
      <c r="J16" t="b">
        <v>0</v>
      </c>
      <c r="K16" s="2">
        <v>0</v>
      </c>
      <c r="L16" t="b">
        <v>0</v>
      </c>
      <c r="M16" s="7" t="s">
        <v>12</v>
      </c>
      <c r="N16" s="6">
        <v>0.82</v>
      </c>
      <c r="O16" s="6">
        <v>0.73</v>
      </c>
      <c r="P16" s="6">
        <v>0.66</v>
      </c>
      <c r="Q16" s="6">
        <v>0.76</v>
      </c>
      <c r="R16" s="6">
        <v>0.72</v>
      </c>
      <c r="S16" s="8">
        <v>0.73799999999999999</v>
      </c>
      <c r="T16" s="9">
        <v>0.73799999999999999</v>
      </c>
      <c r="U16" t="s">
        <v>235</v>
      </c>
      <c r="V16" s="7">
        <v>1875</v>
      </c>
      <c r="W16" s="7">
        <v>870</v>
      </c>
      <c r="X16" s="7">
        <v>1819</v>
      </c>
      <c r="Y16" s="7">
        <v>1454</v>
      </c>
      <c r="Z16" s="7">
        <v>1635</v>
      </c>
      <c r="AA16" s="7">
        <v>7653</v>
      </c>
      <c r="AG16" s="7">
        <v>0</v>
      </c>
    </row>
    <row r="17" spans="1:33" x14ac:dyDescent="0.3">
      <c r="A17" t="s">
        <v>27</v>
      </c>
      <c r="B17" s="1" t="s">
        <v>12</v>
      </c>
      <c r="C17" s="2">
        <v>7084000</v>
      </c>
      <c r="D17" s="2">
        <v>7327000</v>
      </c>
      <c r="E17" s="2">
        <v>6608000</v>
      </c>
      <c r="F17" s="2">
        <v>10227000</v>
      </c>
      <c r="G17" s="2">
        <v>16905000</v>
      </c>
      <c r="H17" s="2">
        <v>48151000</v>
      </c>
      <c r="I17" s="6">
        <v>2.3863636363636362</v>
      </c>
      <c r="J17" t="b">
        <v>0</v>
      </c>
      <c r="K17" s="2">
        <v>7770439.5999999996</v>
      </c>
      <c r="L17" t="b">
        <v>0</v>
      </c>
      <c r="M17" s="7"/>
      <c r="N17" s="6"/>
      <c r="O17" s="6"/>
      <c r="P17" s="6"/>
      <c r="Q17" s="6"/>
      <c r="R17" s="6"/>
      <c r="S17" s="8"/>
      <c r="T17" s="9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G17" s="7">
        <v>0</v>
      </c>
    </row>
    <row r="18" spans="1:33" x14ac:dyDescent="0.3">
      <c r="A18" t="s">
        <v>29</v>
      </c>
      <c r="B18" s="1"/>
      <c r="C18" s="2"/>
      <c r="D18" s="2"/>
      <c r="E18" s="2"/>
      <c r="F18" s="2"/>
      <c r="G18" s="2"/>
      <c r="H18" s="2"/>
      <c r="I18" s="6"/>
      <c r="J18" t="b">
        <v>0</v>
      </c>
      <c r="K18" s="2">
        <v>0</v>
      </c>
      <c r="L18" t="b">
        <v>0</v>
      </c>
      <c r="M18" s="7" t="s">
        <v>12</v>
      </c>
      <c r="N18" s="6">
        <v>0.77411477411477414</v>
      </c>
      <c r="O18" s="6">
        <v>0.44568245125348188</v>
      </c>
      <c r="P18" s="6">
        <v>0.46538024971623154</v>
      </c>
      <c r="Q18" s="6">
        <v>0.62872628726287261</v>
      </c>
      <c r="R18" s="6">
        <v>0.60891590678824725</v>
      </c>
      <c r="S18" s="8">
        <v>0.58456393382712146</v>
      </c>
      <c r="T18" s="9">
        <v>0.58456393382712146</v>
      </c>
      <c r="U18" t="s">
        <v>235</v>
      </c>
      <c r="V18" s="7">
        <v>819</v>
      </c>
      <c r="W18" s="7">
        <v>718</v>
      </c>
      <c r="X18" s="7">
        <v>881</v>
      </c>
      <c r="Y18" s="7">
        <v>1107</v>
      </c>
      <c r="Z18" s="7">
        <v>987</v>
      </c>
      <c r="AA18" s="7">
        <v>4512</v>
      </c>
      <c r="AB18">
        <v>634</v>
      </c>
      <c r="AC18">
        <v>320</v>
      </c>
      <c r="AD18">
        <v>410</v>
      </c>
      <c r="AE18">
        <v>696</v>
      </c>
      <c r="AF18">
        <v>601</v>
      </c>
      <c r="AG18" s="7">
        <v>2661</v>
      </c>
    </row>
    <row r="19" spans="1:33" ht="15.6" customHeight="1" x14ac:dyDescent="0.3">
      <c r="A19" t="s">
        <v>30</v>
      </c>
      <c r="B19" s="1"/>
      <c r="C19" s="2"/>
      <c r="D19" s="2"/>
      <c r="E19" s="2"/>
      <c r="F19" s="2"/>
      <c r="G19" s="2"/>
      <c r="H19" s="2"/>
      <c r="I19" s="6"/>
      <c r="J19" t="b">
        <v>0</v>
      </c>
      <c r="K19" s="2">
        <v>0</v>
      </c>
      <c r="L19" t="b">
        <v>0</v>
      </c>
      <c r="M19" s="7" t="s">
        <v>12</v>
      </c>
      <c r="N19" s="6">
        <v>0.15001473622163278</v>
      </c>
      <c r="O19" s="6">
        <v>0.15010799136069114</v>
      </c>
      <c r="P19" s="6">
        <v>0.15011701771982613</v>
      </c>
      <c r="Q19" s="6">
        <v>0.15</v>
      </c>
      <c r="R19" s="6">
        <v>0.15002388915432394</v>
      </c>
      <c r="S19" s="8">
        <v>0.15005272689129479</v>
      </c>
      <c r="T19" s="9">
        <v>0.15005272689129479</v>
      </c>
      <c r="U19" t="s">
        <v>235</v>
      </c>
      <c r="V19" s="7">
        <v>3393</v>
      </c>
      <c r="W19" s="7">
        <v>2778</v>
      </c>
      <c r="X19" s="7">
        <v>2991</v>
      </c>
      <c r="Y19" s="7">
        <v>2480</v>
      </c>
      <c r="Z19" s="7">
        <v>2093</v>
      </c>
      <c r="AA19" s="7">
        <v>13735</v>
      </c>
      <c r="AB19">
        <v>509</v>
      </c>
      <c r="AC19">
        <v>417</v>
      </c>
      <c r="AD19">
        <v>449</v>
      </c>
      <c r="AE19">
        <v>372</v>
      </c>
      <c r="AF19">
        <v>314</v>
      </c>
      <c r="AG19" s="7">
        <v>2061</v>
      </c>
    </row>
    <row r="20" spans="1:33" x14ac:dyDescent="0.3">
      <c r="A20" t="s">
        <v>35</v>
      </c>
      <c r="B20" s="1"/>
      <c r="I20" s="6"/>
      <c r="J20" t="b">
        <v>0</v>
      </c>
      <c r="K20" s="2">
        <v>0</v>
      </c>
      <c r="L20" t="b">
        <v>0</v>
      </c>
      <c r="M20" s="7" t="s">
        <v>12</v>
      </c>
      <c r="N20" s="6"/>
      <c r="O20" s="6"/>
      <c r="P20" s="6">
        <v>0.79921645445641532</v>
      </c>
      <c r="Q20" s="6">
        <v>0.79848866498740556</v>
      </c>
      <c r="R20" s="6">
        <v>0.89300847457627119</v>
      </c>
      <c r="S20" s="8">
        <v>0.83023786467336391</v>
      </c>
      <c r="T20" s="9">
        <v>0.83023786467336391</v>
      </c>
      <c r="U20" t="s">
        <v>271</v>
      </c>
      <c r="V20" s="7">
        <v>0</v>
      </c>
      <c r="W20" s="7">
        <v>0</v>
      </c>
      <c r="X20" s="7">
        <v>1021</v>
      </c>
      <c r="Y20" s="7">
        <v>794</v>
      </c>
      <c r="Z20" s="7">
        <v>944</v>
      </c>
      <c r="AA20" s="7">
        <v>2759</v>
      </c>
      <c r="AD20">
        <v>816</v>
      </c>
      <c r="AE20">
        <v>634</v>
      </c>
      <c r="AF20">
        <v>843</v>
      </c>
      <c r="AG20" s="7">
        <v>2293</v>
      </c>
    </row>
    <row r="21" spans="1:33" x14ac:dyDescent="0.3">
      <c r="A21" t="s">
        <v>36</v>
      </c>
      <c r="B21" s="1" t="s">
        <v>12</v>
      </c>
      <c r="C21" s="2">
        <v>21211401</v>
      </c>
      <c r="D21" s="2">
        <v>25850516</v>
      </c>
      <c r="E21" s="2">
        <v>35508269</v>
      </c>
      <c r="F21" s="2">
        <v>25353014</v>
      </c>
      <c r="G21" s="2">
        <v>36430719</v>
      </c>
      <c r="H21" s="2">
        <v>144353919</v>
      </c>
      <c r="I21" s="6">
        <v>1.7175064956812611</v>
      </c>
      <c r="J21" t="b">
        <v>0</v>
      </c>
      <c r="K21" s="2">
        <v>23266785.756900001</v>
      </c>
      <c r="L21" t="b">
        <v>0</v>
      </c>
      <c r="M21" s="7" t="s">
        <v>12</v>
      </c>
      <c r="R21" s="6">
        <v>0.91</v>
      </c>
      <c r="S21" s="8">
        <v>0.91</v>
      </c>
      <c r="T21" s="9">
        <v>0.91</v>
      </c>
      <c r="U21" t="s">
        <v>228</v>
      </c>
      <c r="V21" s="7"/>
      <c r="W21" s="7"/>
      <c r="X21" s="7"/>
      <c r="Y21" s="7"/>
      <c r="Z21" s="29"/>
      <c r="AA21" s="7"/>
      <c r="AG21" s="7">
        <v>0</v>
      </c>
    </row>
    <row r="22" spans="1:33" x14ac:dyDescent="0.3">
      <c r="A22" t="s">
        <v>37</v>
      </c>
      <c r="B22" s="1" t="s">
        <v>12</v>
      </c>
      <c r="C22" s="2">
        <v>1130000</v>
      </c>
      <c r="D22" s="2">
        <v>1160000</v>
      </c>
      <c r="E22" s="2">
        <v>1190000</v>
      </c>
      <c r="F22" s="2">
        <v>1220000</v>
      </c>
      <c r="G22" s="2">
        <v>1260000</v>
      </c>
      <c r="H22" s="2">
        <v>5960000</v>
      </c>
      <c r="I22" s="6">
        <v>1.1150442477876106</v>
      </c>
      <c r="J22" t="b">
        <v>0</v>
      </c>
      <c r="K22" s="2">
        <v>1239497</v>
      </c>
      <c r="L22" t="b">
        <v>0</v>
      </c>
      <c r="M22" s="7"/>
      <c r="N22" s="6"/>
      <c r="O22" s="6"/>
      <c r="P22" s="6"/>
      <c r="Q22" s="6"/>
      <c r="R22" s="6"/>
      <c r="S22" s="8"/>
      <c r="T22" s="9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G22" s="7">
        <v>0</v>
      </c>
    </row>
    <row r="23" spans="1:33" x14ac:dyDescent="0.3">
      <c r="A23" t="s">
        <v>42</v>
      </c>
      <c r="B23" s="1" t="s">
        <v>12</v>
      </c>
      <c r="C23" s="2">
        <v>1193019</v>
      </c>
      <c r="D23" s="2">
        <v>1011375</v>
      </c>
      <c r="E23" s="2">
        <v>1152630</v>
      </c>
      <c r="F23" s="2">
        <v>1493278</v>
      </c>
      <c r="G23" s="2">
        <v>1922367</v>
      </c>
      <c r="H23" s="2">
        <v>6772669</v>
      </c>
      <c r="I23" s="6">
        <v>1.6113465083121057</v>
      </c>
      <c r="J23" t="b">
        <v>0</v>
      </c>
      <c r="K23" s="2">
        <v>1308622.5411</v>
      </c>
      <c r="L23" t="b">
        <v>0</v>
      </c>
      <c r="M23" s="7"/>
      <c r="N23" s="6"/>
      <c r="O23" s="6"/>
      <c r="P23" s="6"/>
      <c r="Q23" s="6"/>
      <c r="R23" s="6"/>
      <c r="S23" s="8"/>
      <c r="T23" s="9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G23" s="7">
        <v>0</v>
      </c>
    </row>
    <row r="24" spans="1:33" x14ac:dyDescent="0.3">
      <c r="A24" t="s">
        <v>44</v>
      </c>
      <c r="B24" s="1" t="s">
        <v>12</v>
      </c>
      <c r="C24" s="38">
        <v>20300000</v>
      </c>
      <c r="D24" s="38">
        <v>19000000</v>
      </c>
      <c r="E24" s="38">
        <v>19900000</v>
      </c>
      <c r="F24" s="38">
        <v>19000000</v>
      </c>
      <c r="G24" s="38">
        <v>18800000</v>
      </c>
      <c r="H24" s="2">
        <v>97000000</v>
      </c>
      <c r="I24" s="6">
        <v>0.92610837438423643</v>
      </c>
      <c r="J24" t="b">
        <v>1</v>
      </c>
      <c r="K24" s="2">
        <v>22267070</v>
      </c>
      <c r="L24" t="b">
        <v>1</v>
      </c>
      <c r="M24" s="7"/>
      <c r="N24" s="6"/>
      <c r="O24" s="6"/>
      <c r="P24" s="6"/>
      <c r="Q24" s="6"/>
      <c r="R24" s="6"/>
      <c r="S24" s="8"/>
      <c r="T24" s="9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G24" s="7">
        <v>0</v>
      </c>
    </row>
    <row r="25" spans="1:33" x14ac:dyDescent="0.3">
      <c r="A25" t="s">
        <v>45</v>
      </c>
      <c r="B25" s="1" t="s">
        <v>12</v>
      </c>
      <c r="C25" s="2">
        <v>276000</v>
      </c>
      <c r="D25" s="2">
        <v>80000</v>
      </c>
      <c r="E25" s="2">
        <v>96000</v>
      </c>
      <c r="F25" s="2">
        <v>106000</v>
      </c>
      <c r="G25" s="2">
        <v>150000</v>
      </c>
      <c r="H25" s="2">
        <v>708000</v>
      </c>
      <c r="I25" s="6">
        <v>0.54347826086956519</v>
      </c>
      <c r="J25" t="b">
        <v>1</v>
      </c>
      <c r="K25" s="2">
        <v>302744.40000000002</v>
      </c>
      <c r="L25" t="b">
        <v>1</v>
      </c>
      <c r="M25" s="7"/>
      <c r="N25" s="6"/>
      <c r="O25" s="6"/>
      <c r="P25" s="6"/>
      <c r="Q25" s="6"/>
      <c r="R25" s="6"/>
      <c r="S25" s="8"/>
      <c r="T25" s="9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G25" s="7">
        <v>0</v>
      </c>
    </row>
    <row r="26" spans="1:33" x14ac:dyDescent="0.3">
      <c r="A26" t="s">
        <v>51</v>
      </c>
      <c r="B26" s="1"/>
      <c r="C26" s="3"/>
      <c r="D26" s="3"/>
      <c r="E26" s="3"/>
      <c r="F26" s="3"/>
      <c r="G26" s="3"/>
      <c r="H26" s="2"/>
      <c r="I26" s="6"/>
      <c r="J26" t="b">
        <v>0</v>
      </c>
      <c r="K26" s="2">
        <v>0</v>
      </c>
      <c r="L26" t="b">
        <v>0</v>
      </c>
      <c r="M26" s="7" t="s">
        <v>12</v>
      </c>
      <c r="N26" s="6"/>
      <c r="O26" s="6"/>
      <c r="P26" s="6"/>
      <c r="Q26" s="6"/>
      <c r="R26" s="6"/>
      <c r="S26" s="8">
        <v>0.4254505251520177</v>
      </c>
      <c r="T26" s="9">
        <v>0.4254505251520177</v>
      </c>
      <c r="U26" t="s">
        <v>235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45225</v>
      </c>
      <c r="AG26" s="7">
        <v>19241</v>
      </c>
    </row>
    <row r="27" spans="1:33" x14ac:dyDescent="0.3">
      <c r="A27" t="s">
        <v>52</v>
      </c>
      <c r="B27" s="1" t="s">
        <v>12</v>
      </c>
      <c r="C27" s="2">
        <v>5198000</v>
      </c>
      <c r="D27" s="2">
        <v>4507000</v>
      </c>
      <c r="E27" s="2">
        <v>4565000</v>
      </c>
      <c r="F27" s="2">
        <v>3713000</v>
      </c>
      <c r="G27" s="2">
        <v>3600000</v>
      </c>
      <c r="H27" s="2">
        <v>21583000</v>
      </c>
      <c r="I27" s="6">
        <v>0.69257406694882651</v>
      </c>
      <c r="J27" t="b">
        <v>1</v>
      </c>
      <c r="K27" s="2">
        <v>5701686.2000000002</v>
      </c>
      <c r="L27" t="b">
        <v>1</v>
      </c>
      <c r="M27" s="7"/>
      <c r="N27" s="6"/>
      <c r="O27" s="6"/>
      <c r="P27" s="6"/>
      <c r="Q27" s="6"/>
      <c r="R27" s="6"/>
      <c r="S27" s="8"/>
      <c r="T27" s="9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G27" s="7">
        <v>0</v>
      </c>
    </row>
    <row r="28" spans="1:33" x14ac:dyDescent="0.3">
      <c r="A28" t="s">
        <v>54</v>
      </c>
      <c r="B28" s="1"/>
      <c r="I28" s="6"/>
      <c r="J28" t="b">
        <v>0</v>
      </c>
      <c r="K28" s="2">
        <v>0</v>
      </c>
      <c r="L28" t="b">
        <v>0</v>
      </c>
      <c r="M28" s="7" t="s">
        <v>12</v>
      </c>
      <c r="N28" s="6"/>
      <c r="O28" s="6">
        <v>0.92079788794367845</v>
      </c>
      <c r="P28" s="6">
        <v>0.82914940287594441</v>
      </c>
      <c r="Q28" s="6">
        <v>0.49285846781673159</v>
      </c>
      <c r="R28" s="6">
        <v>0.83932135728542911</v>
      </c>
      <c r="S28" s="8">
        <v>0.77053177898044589</v>
      </c>
      <c r="T28" s="9">
        <v>0.77053177898044589</v>
      </c>
      <c r="U28" t="s">
        <v>271</v>
      </c>
      <c r="V28" s="7"/>
      <c r="W28" s="7">
        <v>3409</v>
      </c>
      <c r="X28" s="7">
        <v>4103</v>
      </c>
      <c r="Y28" s="7">
        <v>5391</v>
      </c>
      <c r="Z28" s="7">
        <v>3006</v>
      </c>
      <c r="AA28" s="7">
        <v>15909</v>
      </c>
      <c r="AC28">
        <v>3139</v>
      </c>
      <c r="AD28">
        <v>3402</v>
      </c>
      <c r="AE28">
        <v>2657</v>
      </c>
      <c r="AF28">
        <v>2523</v>
      </c>
      <c r="AG28" s="7">
        <v>11721</v>
      </c>
    </row>
    <row r="29" spans="1:33" x14ac:dyDescent="0.3">
      <c r="A29" t="s">
        <v>55</v>
      </c>
      <c r="B29" s="1" t="s">
        <v>12</v>
      </c>
      <c r="C29" s="2">
        <v>21937131</v>
      </c>
      <c r="D29" s="2">
        <v>22182080</v>
      </c>
      <c r="E29" s="2">
        <v>18287080</v>
      </c>
      <c r="F29" s="2">
        <v>14166308</v>
      </c>
      <c r="G29" s="2">
        <v>19242487</v>
      </c>
      <c r="H29" s="2">
        <v>95815086</v>
      </c>
      <c r="I29" s="6">
        <v>0.87716515892620595</v>
      </c>
      <c r="J29" t="b">
        <v>1</v>
      </c>
      <c r="K29" s="2">
        <v>24062838.993900001</v>
      </c>
      <c r="L29" t="b">
        <v>1</v>
      </c>
      <c r="M29" s="7" t="s">
        <v>12</v>
      </c>
      <c r="N29" s="6">
        <v>0.22714364235983878</v>
      </c>
      <c r="O29" s="6">
        <v>0.49247393495822689</v>
      </c>
      <c r="P29" s="6">
        <v>0.41198580707240801</v>
      </c>
      <c r="Q29" s="6">
        <v>0.85892787415630056</v>
      </c>
      <c r="R29" s="6">
        <v>0.59906982474512582</v>
      </c>
      <c r="S29" s="8">
        <v>0.51792021665838006</v>
      </c>
      <c r="T29" s="9">
        <v>0.51792021665838006</v>
      </c>
      <c r="U29" t="s">
        <v>235</v>
      </c>
      <c r="V29" s="7">
        <v>21832</v>
      </c>
      <c r="W29" s="7">
        <v>28966</v>
      </c>
      <c r="X29" s="7">
        <v>66512</v>
      </c>
      <c r="Y29" s="7">
        <v>53781</v>
      </c>
      <c r="Z29" s="7">
        <v>97401</v>
      </c>
      <c r="AA29" s="7">
        <v>268492</v>
      </c>
      <c r="AB29">
        <v>4959</v>
      </c>
      <c r="AC29">
        <v>14265</v>
      </c>
      <c r="AD29">
        <v>27402</v>
      </c>
      <c r="AE29">
        <v>46194</v>
      </c>
      <c r="AF29">
        <v>58350</v>
      </c>
      <c r="AG29" s="7">
        <v>151170</v>
      </c>
    </row>
    <row r="30" spans="1:33" x14ac:dyDescent="0.3">
      <c r="A30" t="s">
        <v>56</v>
      </c>
      <c r="B30" s="1"/>
      <c r="I30" s="6"/>
      <c r="J30" t="b">
        <v>0</v>
      </c>
      <c r="K30" s="2">
        <v>0</v>
      </c>
      <c r="L30" t="b">
        <v>0</v>
      </c>
      <c r="M30" s="7" t="s">
        <v>12</v>
      </c>
      <c r="N30" s="6">
        <v>0.87432802876570903</v>
      </c>
      <c r="O30" s="6">
        <v>0.81650563441214641</v>
      </c>
      <c r="P30" s="6">
        <v>0.68556132248968082</v>
      </c>
      <c r="Q30" s="6">
        <v>0.85150897622513344</v>
      </c>
      <c r="R30" s="6">
        <v>0.86210981850492818</v>
      </c>
      <c r="S30" s="8">
        <v>0.81800275607951956</v>
      </c>
      <c r="T30" s="9">
        <v>0.81800275607951956</v>
      </c>
      <c r="U30" t="s">
        <v>271</v>
      </c>
      <c r="V30" s="7">
        <v>56178</v>
      </c>
      <c r="W30" s="7">
        <v>48541</v>
      </c>
      <c r="X30" s="7">
        <v>73407</v>
      </c>
      <c r="Y30" s="7">
        <v>51525</v>
      </c>
      <c r="Z30" s="7">
        <v>60773</v>
      </c>
      <c r="AA30" s="7">
        <v>290424</v>
      </c>
      <c r="AB30">
        <v>49118</v>
      </c>
      <c r="AC30">
        <v>39634</v>
      </c>
      <c r="AD30">
        <v>50325</v>
      </c>
      <c r="AE30">
        <v>43874</v>
      </c>
      <c r="AF30">
        <v>52393</v>
      </c>
      <c r="AG30" s="7">
        <v>235344</v>
      </c>
    </row>
    <row r="31" spans="1:33" x14ac:dyDescent="0.3">
      <c r="A31" t="s">
        <v>57</v>
      </c>
      <c r="B31" s="1" t="s">
        <v>12</v>
      </c>
      <c r="C31" s="3">
        <v>3581139.15</v>
      </c>
      <c r="D31" s="3">
        <v>4412416.0599999996</v>
      </c>
      <c r="E31" s="3">
        <v>4626026.75</v>
      </c>
      <c r="F31" s="3">
        <v>4397826.24</v>
      </c>
      <c r="G31" s="3">
        <v>8105757</v>
      </c>
      <c r="H31" s="2">
        <v>25123165.199999999</v>
      </c>
      <c r="I31" s="6">
        <v>2.2634577045128226</v>
      </c>
      <c r="J31" t="b">
        <v>0</v>
      </c>
      <c r="K31" s="2">
        <v>3928151.5336349998</v>
      </c>
      <c r="L31" t="b">
        <v>0</v>
      </c>
      <c r="M31" s="7" t="s">
        <v>12</v>
      </c>
      <c r="N31" s="6">
        <v>0.73404779502340478</v>
      </c>
      <c r="O31" s="6">
        <v>0.69240458496032242</v>
      </c>
      <c r="P31" s="6">
        <v>0.73401488655725944</v>
      </c>
      <c r="Q31" s="6">
        <v>0.82402912621359226</v>
      </c>
      <c r="R31" s="6">
        <v>0.81998277347114557</v>
      </c>
      <c r="S31" s="8">
        <v>0.76089583324514498</v>
      </c>
      <c r="T31" s="9">
        <v>0.76089583324514498</v>
      </c>
      <c r="U31" t="s">
        <v>271</v>
      </c>
      <c r="V31" s="7">
        <v>8118</v>
      </c>
      <c r="W31" s="7">
        <v>7939</v>
      </c>
      <c r="X31" s="7">
        <v>11151</v>
      </c>
      <c r="Y31" s="7">
        <v>10712</v>
      </c>
      <c r="Z31" s="7">
        <v>8127</v>
      </c>
      <c r="AA31" s="7">
        <v>46047</v>
      </c>
      <c r="AB31">
        <v>5959</v>
      </c>
      <c r="AC31">
        <v>5497</v>
      </c>
      <c r="AD31">
        <v>8185</v>
      </c>
      <c r="AE31">
        <v>8827</v>
      </c>
      <c r="AF31">
        <v>6664</v>
      </c>
      <c r="AG31" s="7">
        <v>35132</v>
      </c>
    </row>
    <row r="32" spans="1:33" x14ac:dyDescent="0.3">
      <c r="A32" t="s">
        <v>58</v>
      </c>
      <c r="B32" s="1"/>
      <c r="I32" s="6"/>
      <c r="J32" t="b">
        <v>0</v>
      </c>
      <c r="K32" s="2">
        <v>0</v>
      </c>
      <c r="L32" t="b">
        <v>0</v>
      </c>
      <c r="M32" s="7" t="s">
        <v>12</v>
      </c>
      <c r="N32" s="6">
        <v>0.72019329058637671</v>
      </c>
      <c r="O32" s="6">
        <v>0.8840846366145354</v>
      </c>
      <c r="P32" s="6">
        <v>0.770946594179725</v>
      </c>
      <c r="Q32" s="6">
        <v>0.90980868508958401</v>
      </c>
      <c r="R32" s="6">
        <v>0.94291792235419247</v>
      </c>
      <c r="S32" s="8">
        <v>0.84559022576488285</v>
      </c>
      <c r="T32" s="9">
        <v>0.84559022576488285</v>
      </c>
      <c r="U32" t="s">
        <v>271</v>
      </c>
      <c r="V32" s="7">
        <v>10761</v>
      </c>
      <c r="W32" s="7">
        <v>9783</v>
      </c>
      <c r="X32" s="7">
        <v>12508</v>
      </c>
      <c r="Y32" s="7">
        <v>9879</v>
      </c>
      <c r="Z32" s="7">
        <v>11282</v>
      </c>
      <c r="AA32" s="7">
        <v>54213</v>
      </c>
      <c r="AB32">
        <v>7750</v>
      </c>
      <c r="AC32">
        <v>8649</v>
      </c>
      <c r="AD32">
        <v>9643</v>
      </c>
      <c r="AE32">
        <v>8988</v>
      </c>
      <c r="AF32">
        <v>10638</v>
      </c>
      <c r="AG32" s="7">
        <v>45668</v>
      </c>
    </row>
    <row r="33" spans="1:33" x14ac:dyDescent="0.3">
      <c r="A33" t="s">
        <v>59</v>
      </c>
      <c r="B33" s="1" t="s">
        <v>12</v>
      </c>
      <c r="C33" s="2">
        <v>7547700</v>
      </c>
      <c r="D33" s="2">
        <v>8046200</v>
      </c>
      <c r="E33" s="2">
        <v>7726500</v>
      </c>
      <c r="F33" s="2">
        <v>5633500</v>
      </c>
      <c r="G33" s="2">
        <v>8535400</v>
      </c>
      <c r="H33" s="2">
        <v>37489300</v>
      </c>
      <c r="I33" s="6">
        <v>1.1308610570107449</v>
      </c>
      <c r="J33" t="b">
        <v>0</v>
      </c>
      <c r="K33" s="2">
        <v>8279072.1299999999</v>
      </c>
      <c r="L33" t="b">
        <v>0</v>
      </c>
      <c r="M33" s="7"/>
      <c r="N33" s="6"/>
      <c r="O33" s="6"/>
      <c r="P33" s="6"/>
      <c r="Q33" s="6"/>
      <c r="R33" s="6"/>
      <c r="S33" s="8"/>
      <c r="T33" s="9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G33" s="7">
        <v>0</v>
      </c>
    </row>
    <row r="34" spans="1:33" x14ac:dyDescent="0.3">
      <c r="A34" t="s">
        <v>62</v>
      </c>
      <c r="B34" s="1" t="s">
        <v>12</v>
      </c>
      <c r="C34" s="2">
        <v>14405401</v>
      </c>
      <c r="D34" s="2">
        <v>14526315</v>
      </c>
      <c r="E34" s="2">
        <v>18162602</v>
      </c>
      <c r="F34" s="2">
        <v>17134317</v>
      </c>
      <c r="G34" s="2">
        <v>21392387</v>
      </c>
      <c r="H34" s="2">
        <v>85621022</v>
      </c>
      <c r="I34" s="6">
        <v>1.4850254428877059</v>
      </c>
      <c r="J34" t="b">
        <v>0</v>
      </c>
      <c r="K34" s="2">
        <v>15801284.356899999</v>
      </c>
      <c r="L34" t="b">
        <v>0</v>
      </c>
      <c r="M34" s="7"/>
      <c r="N34" s="6"/>
      <c r="O34" s="6"/>
      <c r="P34" s="6"/>
      <c r="Q34" s="6"/>
      <c r="R34" s="6"/>
      <c r="S34" s="8"/>
      <c r="T34" s="9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G34" s="7">
        <v>0</v>
      </c>
    </row>
    <row r="35" spans="1:33" x14ac:dyDescent="0.3">
      <c r="A35" t="s">
        <v>63</v>
      </c>
      <c r="B35" s="1" t="s">
        <v>12</v>
      </c>
      <c r="C35" s="2">
        <v>1930215</v>
      </c>
      <c r="D35" s="2">
        <v>1949882</v>
      </c>
      <c r="E35" s="2">
        <v>1951904</v>
      </c>
      <c r="F35" s="2">
        <v>1827851</v>
      </c>
      <c r="G35" s="2">
        <v>1704457</v>
      </c>
      <c r="H35" s="2">
        <v>9364309</v>
      </c>
      <c r="I35" s="6">
        <v>0.88303997223107267</v>
      </c>
      <c r="J35" t="b">
        <v>1</v>
      </c>
      <c r="K35" s="2">
        <v>2117252.8335000002</v>
      </c>
      <c r="L35" t="b">
        <v>1</v>
      </c>
      <c r="M35" s="7" t="s">
        <v>12</v>
      </c>
      <c r="N35" s="6">
        <v>0.99607961399276235</v>
      </c>
      <c r="O35" s="6">
        <v>0.9811377245508982</v>
      </c>
      <c r="P35" s="6">
        <v>0.99530883502736511</v>
      </c>
      <c r="Q35" s="6">
        <v>0.99215070643642067</v>
      </c>
      <c r="R35" s="6">
        <v>0.9752403145936499</v>
      </c>
      <c r="S35" s="8">
        <v>0.98798343892021923</v>
      </c>
      <c r="T35" s="9">
        <v>0.98798343892021923</v>
      </c>
      <c r="U35" t="s">
        <v>228</v>
      </c>
      <c r="V35" s="7">
        <v>3316</v>
      </c>
      <c r="W35" s="7">
        <v>3340</v>
      </c>
      <c r="X35" s="7">
        <v>5116</v>
      </c>
      <c r="Y35" s="7">
        <v>3185</v>
      </c>
      <c r="Z35" s="7">
        <v>3433</v>
      </c>
      <c r="AA35" s="7">
        <v>18390</v>
      </c>
      <c r="AB35">
        <v>3303</v>
      </c>
      <c r="AC35">
        <v>3277</v>
      </c>
      <c r="AD35">
        <v>5092</v>
      </c>
      <c r="AE35">
        <v>3160</v>
      </c>
      <c r="AF35">
        <v>3348</v>
      </c>
      <c r="AG35" s="7">
        <v>18180</v>
      </c>
    </row>
    <row r="36" spans="1:33" x14ac:dyDescent="0.3">
      <c r="A36" t="s">
        <v>68</v>
      </c>
      <c r="B36" s="1" t="s">
        <v>12</v>
      </c>
      <c r="C36" s="38">
        <v>22022074.289999999</v>
      </c>
      <c r="D36" s="38">
        <v>17446793.280000001</v>
      </c>
      <c r="E36" s="38">
        <v>23522340.440000001</v>
      </c>
      <c r="F36" s="38">
        <v>24511618</v>
      </c>
      <c r="G36" s="38">
        <v>20745200</v>
      </c>
      <c r="H36" s="2">
        <v>108248026.01000001</v>
      </c>
      <c r="I36" s="6">
        <v>0.94201843690174936</v>
      </c>
      <c r="J36" t="b">
        <v>1</v>
      </c>
      <c r="K36" s="2">
        <v>24156013.288700998</v>
      </c>
      <c r="L36" t="b">
        <v>1</v>
      </c>
      <c r="M36" s="7" t="s">
        <v>12</v>
      </c>
      <c r="N36" s="6">
        <v>0.98399999999999999</v>
      </c>
      <c r="O36" s="6">
        <v>1</v>
      </c>
      <c r="P36" s="6">
        <v>1</v>
      </c>
      <c r="Q36" s="6">
        <v>0.99360000000000004</v>
      </c>
      <c r="R36" s="6">
        <v>0.96299999999999997</v>
      </c>
      <c r="S36" s="8">
        <v>0.98812</v>
      </c>
      <c r="T36" s="9">
        <v>0.98812</v>
      </c>
      <c r="U36" t="s">
        <v>228</v>
      </c>
      <c r="V36" s="7">
        <v>27333</v>
      </c>
      <c r="W36" s="7">
        <v>31407</v>
      </c>
      <c r="X36" s="7">
        <v>35013</v>
      </c>
      <c r="Y36" s="7">
        <v>24815</v>
      </c>
      <c r="Z36" s="7">
        <v>12794</v>
      </c>
      <c r="AA36" s="7">
        <v>131362</v>
      </c>
      <c r="AG36" s="7">
        <v>0</v>
      </c>
    </row>
    <row r="37" spans="1:33" x14ac:dyDescent="0.3">
      <c r="A37" t="s">
        <v>69</v>
      </c>
      <c r="B37" s="1" t="s">
        <v>12</v>
      </c>
      <c r="C37" s="2">
        <v>23507000</v>
      </c>
      <c r="D37" s="2">
        <v>28998000</v>
      </c>
      <c r="E37" s="2">
        <v>27030000</v>
      </c>
      <c r="F37" s="2">
        <v>27363000</v>
      </c>
      <c r="G37" s="2">
        <v>23219000</v>
      </c>
      <c r="H37" s="2">
        <v>130117000</v>
      </c>
      <c r="I37" s="6">
        <v>0.98774833028459608</v>
      </c>
      <c r="J37" t="b">
        <v>1</v>
      </c>
      <c r="K37" s="2">
        <v>25784828.300000001</v>
      </c>
      <c r="L37" t="b">
        <v>1</v>
      </c>
      <c r="M37" s="7"/>
      <c r="N37" s="6"/>
      <c r="O37" s="6"/>
      <c r="P37" s="6"/>
      <c r="Q37" s="6"/>
      <c r="R37" s="6"/>
      <c r="S37" s="8"/>
      <c r="T37" s="9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G37" s="7">
        <v>0</v>
      </c>
    </row>
    <row r="38" spans="1:33" x14ac:dyDescent="0.3">
      <c r="A38" s="29" t="s">
        <v>72</v>
      </c>
      <c r="B38" s="27" t="s">
        <v>12</v>
      </c>
      <c r="C38" s="28">
        <v>68600000</v>
      </c>
      <c r="D38" s="28">
        <v>72100000</v>
      </c>
      <c r="E38" s="28">
        <v>58900000</v>
      </c>
      <c r="F38" s="28">
        <v>47000000</v>
      </c>
      <c r="G38" s="28">
        <v>47300000</v>
      </c>
      <c r="H38" s="28">
        <v>293900000</v>
      </c>
      <c r="I38" s="10">
        <v>0.68950437317784252</v>
      </c>
      <c r="J38" s="29" t="b">
        <v>1</v>
      </c>
      <c r="K38" s="28">
        <v>75247340</v>
      </c>
      <c r="L38" s="29" t="b">
        <v>1</v>
      </c>
      <c r="M38" s="7"/>
      <c r="N38" s="10"/>
      <c r="O38" s="10"/>
      <c r="P38" s="10"/>
      <c r="Q38" s="10"/>
      <c r="R38" s="10"/>
      <c r="S38" s="8"/>
      <c r="T38" s="35">
        <v>0</v>
      </c>
      <c r="U38" s="29"/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29"/>
      <c r="AC38" s="29"/>
      <c r="AD38" s="29"/>
      <c r="AE38" s="29"/>
      <c r="AF38" s="29"/>
      <c r="AG38" s="7">
        <v>0</v>
      </c>
    </row>
    <row r="39" spans="1:33" x14ac:dyDescent="0.3">
      <c r="A39" t="s">
        <v>78</v>
      </c>
      <c r="B39" s="1" t="s">
        <v>12</v>
      </c>
      <c r="C39" s="2">
        <v>21118000</v>
      </c>
      <c r="D39" s="2">
        <v>18217000</v>
      </c>
      <c r="E39" s="2">
        <v>25678000</v>
      </c>
      <c r="F39" s="2">
        <v>30199000</v>
      </c>
      <c r="G39" s="2">
        <v>34489000</v>
      </c>
      <c r="H39" s="2">
        <v>129701000</v>
      </c>
      <c r="I39" s="6">
        <v>1.633156548915617</v>
      </c>
      <c r="J39" t="b">
        <v>0</v>
      </c>
      <c r="K39" s="2">
        <v>23164334.199999999</v>
      </c>
      <c r="L39" t="b">
        <v>0</v>
      </c>
      <c r="M39" s="7"/>
      <c r="N39" s="6"/>
      <c r="O39" s="6"/>
      <c r="P39" s="6"/>
      <c r="Q39" s="6"/>
      <c r="R39" s="6"/>
      <c r="S39" s="8"/>
      <c r="T39" s="9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G39" s="7">
        <v>0</v>
      </c>
    </row>
    <row r="40" spans="1:33" x14ac:dyDescent="0.3">
      <c r="A40" t="s">
        <v>79</v>
      </c>
      <c r="B40" s="1" t="s">
        <v>12</v>
      </c>
      <c r="C40" s="2">
        <v>1925940</v>
      </c>
      <c r="D40" s="2">
        <v>1918940</v>
      </c>
      <c r="E40" s="2">
        <v>1949220</v>
      </c>
      <c r="F40" s="2">
        <v>1988470</v>
      </c>
      <c r="G40" s="2">
        <v>1988740</v>
      </c>
      <c r="H40" s="2">
        <v>9771310</v>
      </c>
      <c r="I40" s="6">
        <v>1.0326074540224515</v>
      </c>
      <c r="J40" t="b">
        <v>0</v>
      </c>
      <c r="K40" s="2">
        <v>2112563.5860000001</v>
      </c>
      <c r="L40" t="b">
        <v>1</v>
      </c>
      <c r="M40" s="7"/>
      <c r="N40" s="6"/>
      <c r="O40" s="6"/>
      <c r="P40" s="6"/>
      <c r="Q40" s="6"/>
      <c r="R40" s="6"/>
      <c r="S40" s="8"/>
      <c r="T40" s="9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G40" s="7">
        <v>0</v>
      </c>
    </row>
    <row r="41" spans="1:33" x14ac:dyDescent="0.3">
      <c r="A41" t="s">
        <v>82</v>
      </c>
      <c r="B41" s="1"/>
      <c r="C41" s="2"/>
      <c r="D41" s="2"/>
      <c r="E41" s="2"/>
      <c r="F41" s="2"/>
      <c r="G41" s="2"/>
      <c r="H41" s="2"/>
      <c r="I41" s="6"/>
      <c r="J41" t="b">
        <v>0</v>
      </c>
      <c r="K41" s="2">
        <v>0</v>
      </c>
      <c r="L41" t="b">
        <v>0</v>
      </c>
      <c r="M41" s="7" t="s">
        <v>12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8">
        <v>1</v>
      </c>
      <c r="T41" s="9">
        <v>1</v>
      </c>
      <c r="U41" t="s">
        <v>272</v>
      </c>
      <c r="V41" s="7">
        <v>342</v>
      </c>
      <c r="W41" s="7">
        <v>248</v>
      </c>
      <c r="X41" s="7">
        <v>342</v>
      </c>
      <c r="Y41" s="7">
        <v>203</v>
      </c>
      <c r="Z41" s="7">
        <v>325</v>
      </c>
      <c r="AA41" s="7">
        <v>1460</v>
      </c>
      <c r="AG41" s="7">
        <v>0</v>
      </c>
    </row>
    <row r="42" spans="1:33" x14ac:dyDescent="0.3">
      <c r="A42" t="s">
        <v>83</v>
      </c>
      <c r="B42" s="1"/>
      <c r="C42" s="2"/>
      <c r="D42" s="2"/>
      <c r="E42" s="2"/>
      <c r="F42" s="2"/>
      <c r="G42" s="2"/>
      <c r="H42" s="2"/>
      <c r="I42" s="6"/>
      <c r="J42" t="b">
        <v>0</v>
      </c>
      <c r="K42" s="2">
        <v>0</v>
      </c>
      <c r="L42" t="b">
        <v>0</v>
      </c>
      <c r="M42" s="7" t="s">
        <v>12</v>
      </c>
      <c r="N42" s="6">
        <v>0.58223062381852553</v>
      </c>
      <c r="O42" s="6">
        <v>0.55000000000000004</v>
      </c>
      <c r="P42" s="6">
        <v>0.58275058275058278</v>
      </c>
      <c r="Q42" s="6">
        <v>0.50617283950617287</v>
      </c>
      <c r="R42" s="6">
        <v>0.61</v>
      </c>
      <c r="S42" s="8">
        <v>0.56623080921505631</v>
      </c>
      <c r="T42" s="9">
        <v>0.56623080921505631</v>
      </c>
      <c r="U42" t="s">
        <v>235</v>
      </c>
      <c r="V42" s="7">
        <v>529</v>
      </c>
      <c r="W42" s="7">
        <v>320</v>
      </c>
      <c r="X42" s="7">
        <v>429</v>
      </c>
      <c r="Y42" s="7">
        <v>162</v>
      </c>
      <c r="Z42" s="7">
        <v>100</v>
      </c>
      <c r="AA42" s="7">
        <v>1540</v>
      </c>
      <c r="AB42">
        <v>308</v>
      </c>
      <c r="AC42">
        <v>176</v>
      </c>
      <c r="AD42">
        <v>250</v>
      </c>
      <c r="AE42">
        <v>82</v>
      </c>
      <c r="AF42">
        <v>61</v>
      </c>
      <c r="AG42" s="7">
        <v>877</v>
      </c>
    </row>
    <row r="43" spans="1:33" x14ac:dyDescent="0.3">
      <c r="A43" t="s">
        <v>84</v>
      </c>
      <c r="B43" s="1" t="s">
        <v>12</v>
      </c>
      <c r="C43" s="2">
        <v>28088000</v>
      </c>
      <c r="D43" s="2">
        <v>35099000</v>
      </c>
      <c r="E43" s="2">
        <v>40216000</v>
      </c>
      <c r="F43" s="2">
        <v>36833000</v>
      </c>
      <c r="G43" s="2">
        <v>42754000</v>
      </c>
      <c r="H43" s="2">
        <v>182990000</v>
      </c>
      <c r="I43" s="6">
        <v>1.5221446881230418</v>
      </c>
      <c r="J43" t="b">
        <v>0</v>
      </c>
      <c r="K43" s="2">
        <v>30809727.199999999</v>
      </c>
      <c r="L43" t="b">
        <v>0</v>
      </c>
      <c r="M43" s="7"/>
      <c r="N43" s="6"/>
      <c r="O43" s="6"/>
      <c r="P43" s="6"/>
      <c r="Q43" s="6"/>
      <c r="R43" s="6"/>
      <c r="S43" s="8"/>
      <c r="T43" s="9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G43" s="7">
        <v>0</v>
      </c>
    </row>
    <row r="44" spans="1:33" x14ac:dyDescent="0.3">
      <c r="A44" t="s">
        <v>89</v>
      </c>
      <c r="B44" s="1"/>
      <c r="I44" s="6"/>
      <c r="J44" t="b">
        <v>0</v>
      </c>
      <c r="K44" s="2">
        <v>0</v>
      </c>
      <c r="L44" t="b">
        <v>0</v>
      </c>
      <c r="M44" s="7" t="s">
        <v>12</v>
      </c>
      <c r="N44" s="6">
        <v>0.95390070921985815</v>
      </c>
      <c r="O44" s="6">
        <v>0.94986376021798369</v>
      </c>
      <c r="P44" s="6">
        <v>0.92451821811437018</v>
      </c>
      <c r="Q44" s="6">
        <v>0.98476238582312581</v>
      </c>
      <c r="R44" s="6">
        <v>0.92153893802264364</v>
      </c>
      <c r="S44" s="8">
        <v>0.94691680227959629</v>
      </c>
      <c r="T44" s="9">
        <v>0.94691680227959629</v>
      </c>
      <c r="U44" t="s">
        <v>228</v>
      </c>
      <c r="V44" s="7">
        <v>846</v>
      </c>
      <c r="W44" s="7">
        <v>18350</v>
      </c>
      <c r="X44" s="7">
        <v>31809</v>
      </c>
      <c r="Y44" s="7">
        <v>23757</v>
      </c>
      <c r="Z44" s="7">
        <v>29059</v>
      </c>
      <c r="AA44" s="7">
        <v>103821</v>
      </c>
      <c r="AB44">
        <v>807</v>
      </c>
      <c r="AC44">
        <v>17430</v>
      </c>
      <c r="AD44">
        <v>29408</v>
      </c>
      <c r="AE44">
        <v>23395</v>
      </c>
      <c r="AF44">
        <v>26779</v>
      </c>
      <c r="AG44" s="7">
        <v>97819</v>
      </c>
    </row>
    <row r="45" spans="1:33" x14ac:dyDescent="0.3">
      <c r="A45" t="s">
        <v>90</v>
      </c>
      <c r="B45" s="1"/>
      <c r="C45" s="2"/>
      <c r="D45" s="2"/>
      <c r="E45" s="2"/>
      <c r="F45" s="2"/>
      <c r="G45" s="2"/>
      <c r="H45" s="2"/>
      <c r="I45" s="6"/>
      <c r="J45" t="b">
        <v>0</v>
      </c>
      <c r="K45" s="2">
        <v>0</v>
      </c>
      <c r="L45" t="b">
        <v>0</v>
      </c>
      <c r="M45" s="7" t="s">
        <v>12</v>
      </c>
      <c r="N45" s="6">
        <v>0.9879</v>
      </c>
      <c r="O45" s="6">
        <v>0.99760000000000004</v>
      </c>
      <c r="P45" s="6">
        <v>0.99490000000000001</v>
      </c>
      <c r="Q45" s="6">
        <v>0.99760000000000004</v>
      </c>
      <c r="R45" s="6">
        <v>0.98089999999999999</v>
      </c>
      <c r="S45" s="8">
        <v>0.99177999999999999</v>
      </c>
      <c r="T45" s="9">
        <v>0.99177999999999999</v>
      </c>
      <c r="U45" t="s">
        <v>228</v>
      </c>
      <c r="V45" s="7">
        <v>6774</v>
      </c>
      <c r="W45" s="7">
        <v>17371</v>
      </c>
      <c r="X45" s="7">
        <v>25706</v>
      </c>
      <c r="Y45" s="7">
        <v>14085</v>
      </c>
      <c r="Z45" s="7">
        <v>18657</v>
      </c>
      <c r="AA45" s="7">
        <v>82593</v>
      </c>
      <c r="AG45" s="7">
        <v>0</v>
      </c>
    </row>
    <row r="46" spans="1:33" x14ac:dyDescent="0.3">
      <c r="A46" t="s">
        <v>92</v>
      </c>
      <c r="B46" s="1"/>
      <c r="I46" s="6"/>
      <c r="J46" t="b">
        <v>0</v>
      </c>
      <c r="K46" s="2">
        <v>0</v>
      </c>
      <c r="L46" t="b">
        <v>0</v>
      </c>
      <c r="M46" s="7" t="s">
        <v>12</v>
      </c>
      <c r="N46" s="6"/>
      <c r="O46" s="6">
        <v>0.79</v>
      </c>
      <c r="P46" s="6">
        <v>0.72</v>
      </c>
      <c r="Q46" s="6">
        <v>0.9</v>
      </c>
      <c r="R46" s="6">
        <v>0.89</v>
      </c>
      <c r="S46" s="8">
        <v>0.82500000000000007</v>
      </c>
      <c r="T46" s="9">
        <v>0.82500000000000007</v>
      </c>
      <c r="U46" t="s">
        <v>271</v>
      </c>
      <c r="V46" s="7">
        <v>0</v>
      </c>
      <c r="W46" s="7">
        <v>1643</v>
      </c>
      <c r="X46" s="7">
        <v>1769</v>
      </c>
      <c r="Y46" s="7">
        <v>1881</v>
      </c>
      <c r="Z46" s="7">
        <v>789</v>
      </c>
      <c r="AA46" s="7">
        <v>6082</v>
      </c>
      <c r="AG46" s="7">
        <v>0</v>
      </c>
    </row>
    <row r="47" spans="1:33" x14ac:dyDescent="0.3">
      <c r="A47" t="s">
        <v>93</v>
      </c>
      <c r="B47" s="1"/>
      <c r="C47" s="2"/>
      <c r="D47" s="2"/>
      <c r="E47" s="2"/>
      <c r="F47" s="2"/>
      <c r="G47" s="2"/>
      <c r="H47" s="2"/>
      <c r="I47" s="6"/>
      <c r="J47" t="b">
        <v>0</v>
      </c>
      <c r="K47" s="2">
        <v>0</v>
      </c>
      <c r="L47" t="b">
        <v>0</v>
      </c>
      <c r="M47" s="7" t="s">
        <v>12</v>
      </c>
      <c r="N47" s="6">
        <v>1</v>
      </c>
      <c r="O47" s="6">
        <v>1</v>
      </c>
      <c r="P47" s="6">
        <v>1</v>
      </c>
      <c r="Q47" s="6">
        <v>1</v>
      </c>
      <c r="R47" s="6">
        <v>1</v>
      </c>
      <c r="S47" s="8">
        <v>1</v>
      </c>
      <c r="T47" s="9">
        <v>1</v>
      </c>
      <c r="U47" t="s">
        <v>272</v>
      </c>
      <c r="V47" s="7">
        <v>1034</v>
      </c>
      <c r="W47" s="7">
        <v>704</v>
      </c>
      <c r="X47" s="7">
        <v>972</v>
      </c>
      <c r="Y47" s="7">
        <v>926</v>
      </c>
      <c r="Z47" s="7">
        <v>862</v>
      </c>
      <c r="AA47" s="7">
        <v>4498</v>
      </c>
      <c r="AB47">
        <v>1034</v>
      </c>
      <c r="AC47">
        <v>704</v>
      </c>
      <c r="AD47">
        <v>972</v>
      </c>
      <c r="AE47">
        <v>926</v>
      </c>
      <c r="AF47">
        <v>862</v>
      </c>
      <c r="AG47" s="7">
        <v>4498</v>
      </c>
    </row>
    <row r="48" spans="1:33" x14ac:dyDescent="0.3">
      <c r="A48" t="s">
        <v>99</v>
      </c>
      <c r="B48" s="1" t="s">
        <v>12</v>
      </c>
      <c r="C48" s="2">
        <v>3790000</v>
      </c>
      <c r="D48" s="2">
        <v>3660000</v>
      </c>
      <c r="E48" s="2">
        <v>3710000</v>
      </c>
      <c r="F48" s="2">
        <v>3860000</v>
      </c>
      <c r="G48" s="2">
        <v>3860000</v>
      </c>
      <c r="H48" s="2">
        <v>18880000</v>
      </c>
      <c r="I48" s="6">
        <v>1.0184696569920844</v>
      </c>
      <c r="J48" t="b">
        <v>0</v>
      </c>
      <c r="K48" s="2">
        <v>4157251</v>
      </c>
      <c r="L48" t="b">
        <v>1</v>
      </c>
      <c r="M48" s="7"/>
      <c r="N48" s="6"/>
      <c r="O48" s="6"/>
      <c r="P48" s="6"/>
      <c r="Q48" s="6"/>
      <c r="R48" s="6"/>
      <c r="S48" s="8"/>
      <c r="T48" s="9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G48" s="7">
        <v>0</v>
      </c>
    </row>
    <row r="49" spans="1:33" x14ac:dyDescent="0.3">
      <c r="A49" t="s">
        <v>100</v>
      </c>
      <c r="B49" s="1"/>
      <c r="C49" s="29"/>
      <c r="D49" s="29"/>
      <c r="E49" s="29"/>
      <c r="F49" s="29"/>
      <c r="G49" s="29"/>
      <c r="I49" s="6"/>
      <c r="J49" t="b">
        <v>0</v>
      </c>
      <c r="K49" s="2">
        <v>0</v>
      </c>
      <c r="L49" t="b">
        <v>0</v>
      </c>
      <c r="M49" s="7"/>
      <c r="N49" s="6"/>
      <c r="O49" s="6"/>
      <c r="P49" s="6"/>
      <c r="Q49" s="6"/>
      <c r="R49" s="6"/>
      <c r="S49" s="8"/>
      <c r="T49" s="9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G49" s="7">
        <v>0</v>
      </c>
    </row>
    <row r="50" spans="1:33" x14ac:dyDescent="0.3">
      <c r="A50" t="s">
        <v>101</v>
      </c>
      <c r="B50" s="1" t="s">
        <v>12</v>
      </c>
      <c r="C50" s="37">
        <v>777800</v>
      </c>
      <c r="D50" s="37">
        <v>683300</v>
      </c>
      <c r="E50" s="37">
        <v>732000</v>
      </c>
      <c r="F50" s="37">
        <v>759000</v>
      </c>
      <c r="G50" s="37">
        <v>758000</v>
      </c>
      <c r="H50" s="2">
        <v>3710100</v>
      </c>
      <c r="I50" s="6">
        <v>0.97454358446901512</v>
      </c>
      <c r="J50" t="b">
        <v>1</v>
      </c>
      <c r="K50" s="2">
        <v>853168.82</v>
      </c>
      <c r="L50" t="b">
        <v>1</v>
      </c>
      <c r="M50" s="7"/>
      <c r="N50" s="6"/>
      <c r="O50" s="6"/>
      <c r="P50" s="6"/>
      <c r="Q50" s="6"/>
      <c r="R50" s="6"/>
      <c r="S50" s="8"/>
      <c r="T50" s="9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G50" s="7">
        <v>0</v>
      </c>
    </row>
    <row r="51" spans="1:33" x14ac:dyDescent="0.3">
      <c r="A51" t="s">
        <v>102</v>
      </c>
      <c r="B51" s="1" t="s">
        <v>12</v>
      </c>
      <c r="C51" s="2">
        <v>658552</v>
      </c>
      <c r="D51" s="2">
        <v>667766</v>
      </c>
      <c r="E51" s="2">
        <v>695815</v>
      </c>
      <c r="F51" s="2">
        <v>709500</v>
      </c>
      <c r="G51" s="2">
        <v>721500</v>
      </c>
      <c r="H51" s="2">
        <v>3453133</v>
      </c>
      <c r="I51" s="6">
        <v>1.0955854662957518</v>
      </c>
      <c r="J51" t="b">
        <v>0</v>
      </c>
      <c r="K51" s="2">
        <v>722365.6888</v>
      </c>
      <c r="L51" t="b">
        <v>1</v>
      </c>
      <c r="M51" s="7" t="s">
        <v>12</v>
      </c>
      <c r="N51" s="6">
        <v>0.93</v>
      </c>
      <c r="O51" s="6">
        <v>0.91</v>
      </c>
      <c r="P51" s="6">
        <v>0.9</v>
      </c>
      <c r="Q51" s="6">
        <v>0.91</v>
      </c>
      <c r="R51" s="6">
        <v>0.92</v>
      </c>
      <c r="S51" s="8">
        <v>0.91399999999999992</v>
      </c>
      <c r="T51" s="9">
        <v>0.91399999999999992</v>
      </c>
      <c r="U51" t="s">
        <v>228</v>
      </c>
      <c r="V51" s="7">
        <v>815</v>
      </c>
      <c r="W51" s="7">
        <v>1461</v>
      </c>
      <c r="X51" s="7">
        <v>1489</v>
      </c>
      <c r="Y51" s="7">
        <v>2105</v>
      </c>
      <c r="Z51" s="7">
        <v>2461</v>
      </c>
      <c r="AA51" s="7">
        <v>8331</v>
      </c>
      <c r="AG51" s="7">
        <v>0</v>
      </c>
    </row>
    <row r="52" spans="1:33" x14ac:dyDescent="0.3">
      <c r="A52" t="s">
        <v>103</v>
      </c>
      <c r="B52" s="1" t="s">
        <v>12</v>
      </c>
      <c r="C52" s="2">
        <v>6480000</v>
      </c>
      <c r="D52" s="2">
        <v>8008000</v>
      </c>
      <c r="E52" s="2">
        <v>10070000</v>
      </c>
      <c r="F52" s="2">
        <v>5405000</v>
      </c>
      <c r="G52" s="2">
        <v>5054000</v>
      </c>
      <c r="H52" s="2">
        <v>35017000</v>
      </c>
      <c r="I52" s="6">
        <v>0.77993827160493823</v>
      </c>
      <c r="J52" t="b">
        <v>1</v>
      </c>
      <c r="K52" s="2">
        <v>7107912</v>
      </c>
      <c r="L52" t="b">
        <v>1</v>
      </c>
      <c r="M52" s="7"/>
      <c r="N52" s="6"/>
      <c r="O52" s="6"/>
      <c r="P52" s="6"/>
      <c r="Q52" s="6"/>
      <c r="R52" s="6"/>
      <c r="S52" s="8"/>
      <c r="T52" s="9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G52" s="7">
        <v>0</v>
      </c>
    </row>
    <row r="53" spans="1:33" x14ac:dyDescent="0.3">
      <c r="A53" t="s">
        <v>104</v>
      </c>
      <c r="B53" s="1"/>
      <c r="C53" s="28"/>
      <c r="D53" s="28"/>
      <c r="E53" s="28"/>
      <c r="F53" s="28"/>
      <c r="G53" s="28"/>
      <c r="H53" s="2"/>
      <c r="I53" s="6"/>
      <c r="J53" t="b">
        <v>0</v>
      </c>
      <c r="K53" s="2">
        <v>0</v>
      </c>
      <c r="L53" t="b">
        <v>0</v>
      </c>
      <c r="M53" s="7"/>
      <c r="N53" s="6"/>
      <c r="O53" s="6"/>
      <c r="P53" s="6"/>
      <c r="Q53" s="6"/>
      <c r="R53" s="6"/>
      <c r="S53" s="8"/>
      <c r="T53" s="9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G53" s="7">
        <v>0</v>
      </c>
    </row>
    <row r="54" spans="1:33" x14ac:dyDescent="0.3">
      <c r="A54" t="s">
        <v>105</v>
      </c>
      <c r="B54" s="1" t="s">
        <v>12</v>
      </c>
      <c r="C54" s="2">
        <v>1660821</v>
      </c>
      <c r="D54" s="2">
        <v>1389332</v>
      </c>
      <c r="E54" s="2">
        <v>1362054</v>
      </c>
      <c r="F54" s="2">
        <v>1044366</v>
      </c>
      <c r="G54" s="2">
        <v>1903293</v>
      </c>
      <c r="H54" s="2">
        <v>7359866</v>
      </c>
      <c r="I54" s="6">
        <v>1.1459952637882107</v>
      </c>
      <c r="J54" t="b">
        <v>0</v>
      </c>
      <c r="K54" s="2">
        <v>1821754.5548999999</v>
      </c>
      <c r="L54" t="b">
        <v>0</v>
      </c>
      <c r="M54" s="7" t="s">
        <v>12</v>
      </c>
      <c r="N54" s="6">
        <v>1</v>
      </c>
      <c r="O54" s="6">
        <v>1</v>
      </c>
      <c r="P54" s="6">
        <v>1</v>
      </c>
      <c r="Q54" s="6">
        <v>1</v>
      </c>
      <c r="R54" s="6">
        <v>1</v>
      </c>
      <c r="S54" s="8">
        <v>1</v>
      </c>
      <c r="T54" s="9">
        <v>1</v>
      </c>
      <c r="U54" t="s">
        <v>272</v>
      </c>
      <c r="V54" s="7">
        <v>0</v>
      </c>
      <c r="W54" s="7">
        <v>0</v>
      </c>
      <c r="X54" s="7">
        <v>0</v>
      </c>
      <c r="Y54" s="7">
        <v>0</v>
      </c>
      <c r="Z54" s="29">
        <v>0</v>
      </c>
      <c r="AA54" s="7"/>
      <c r="AG54" s="7">
        <v>0</v>
      </c>
    </row>
    <row r="55" spans="1:33" x14ac:dyDescent="0.3">
      <c r="A55" t="s">
        <v>106</v>
      </c>
      <c r="B55" s="1" t="s">
        <v>12</v>
      </c>
      <c r="C55" s="2">
        <v>21225000</v>
      </c>
      <c r="D55" s="2">
        <v>23366000</v>
      </c>
      <c r="E55" s="2">
        <v>27307000</v>
      </c>
      <c r="F55" s="2">
        <v>30743000</v>
      </c>
      <c r="G55" s="2">
        <v>28634000</v>
      </c>
      <c r="H55" s="2">
        <v>131275000</v>
      </c>
      <c r="I55" s="6">
        <v>1.3490694935217904</v>
      </c>
      <c r="J55" t="b">
        <v>0</v>
      </c>
      <c r="K55" s="2">
        <v>23281702.5</v>
      </c>
      <c r="L55" t="b">
        <v>0</v>
      </c>
      <c r="M55" s="7"/>
      <c r="N55" s="6"/>
      <c r="O55" s="6"/>
      <c r="P55" s="6"/>
      <c r="Q55" s="6"/>
      <c r="R55" s="6"/>
      <c r="S55" s="8"/>
      <c r="T55" s="9">
        <v>0</v>
      </c>
      <c r="V55" s="7"/>
      <c r="W55" s="7"/>
      <c r="X55" s="7"/>
      <c r="Y55" s="7"/>
      <c r="Z55" s="7"/>
      <c r="AA55" s="7"/>
      <c r="AG55" s="7">
        <v>0</v>
      </c>
    </row>
    <row r="56" spans="1:33" x14ac:dyDescent="0.3">
      <c r="A56" t="s">
        <v>107</v>
      </c>
      <c r="B56" s="1" t="s">
        <v>12</v>
      </c>
      <c r="C56" s="53">
        <v>27901000</v>
      </c>
      <c r="D56" s="53">
        <v>28413000</v>
      </c>
      <c r="E56" s="53">
        <v>33012000</v>
      </c>
      <c r="F56" s="53">
        <v>28357000</v>
      </c>
      <c r="G56" s="53">
        <v>26743000</v>
      </c>
      <c r="H56" s="2">
        <v>144426000</v>
      </c>
      <c r="I56" s="6">
        <v>0.95849611125049283</v>
      </c>
      <c r="J56" t="b">
        <v>1</v>
      </c>
      <c r="K56" s="2">
        <v>30604606.899999999</v>
      </c>
      <c r="L56" t="b">
        <v>1</v>
      </c>
      <c r="M56" s="7"/>
      <c r="N56" s="6"/>
      <c r="O56" s="6"/>
      <c r="P56" s="6"/>
      <c r="Q56" s="6"/>
      <c r="R56" s="6"/>
      <c r="S56" s="8"/>
      <c r="T56" s="9">
        <v>0</v>
      </c>
      <c r="V56" s="7">
        <v>0</v>
      </c>
      <c r="W56" s="7">
        <v>0</v>
      </c>
      <c r="X56" s="7">
        <v>0</v>
      </c>
      <c r="Y56" s="7">
        <v>0</v>
      </c>
      <c r="Z56" s="29">
        <v>0</v>
      </c>
      <c r="AA56" s="7">
        <v>0</v>
      </c>
      <c r="AG56" s="7">
        <v>0</v>
      </c>
    </row>
    <row r="57" spans="1:33" x14ac:dyDescent="0.3">
      <c r="A57" t="s">
        <v>108</v>
      </c>
      <c r="B57" s="1" t="s">
        <v>12</v>
      </c>
      <c r="C57" s="2">
        <v>3395000</v>
      </c>
      <c r="D57" s="2">
        <v>4231000</v>
      </c>
      <c r="E57" s="2">
        <v>4873000</v>
      </c>
      <c r="F57" s="2">
        <v>3041000</v>
      </c>
      <c r="G57" s="2">
        <v>6433000</v>
      </c>
      <c r="H57" s="2">
        <v>21973000</v>
      </c>
      <c r="I57" s="6">
        <v>1.8948453608247422</v>
      </c>
      <c r="J57" t="b">
        <v>0</v>
      </c>
      <c r="K57" s="2">
        <v>3723975.5</v>
      </c>
      <c r="L57" t="b">
        <v>0</v>
      </c>
      <c r="M57" s="7" t="s">
        <v>12</v>
      </c>
      <c r="Q57" s="6">
        <v>0.99942528735632186</v>
      </c>
      <c r="R57" s="6">
        <v>0.87010309278350517</v>
      </c>
      <c r="S57" s="8">
        <v>0.93476419006991351</v>
      </c>
      <c r="T57" s="9">
        <v>0.93476419006991351</v>
      </c>
      <c r="U57" t="s">
        <v>228</v>
      </c>
      <c r="V57" s="7">
        <v>4756</v>
      </c>
      <c r="W57" s="7">
        <v>4166</v>
      </c>
      <c r="X57" s="7">
        <v>4750</v>
      </c>
      <c r="Y57" s="7">
        <v>3480</v>
      </c>
      <c r="Z57" s="7">
        <v>1940</v>
      </c>
      <c r="AA57" s="7">
        <v>19092</v>
      </c>
      <c r="AE57">
        <v>3478</v>
      </c>
      <c r="AF57">
        <v>1688</v>
      </c>
      <c r="AG57" s="7">
        <v>5166</v>
      </c>
    </row>
    <row r="58" spans="1:33" x14ac:dyDescent="0.3">
      <c r="A58" t="s">
        <v>109</v>
      </c>
      <c r="B58" s="5" t="s">
        <v>12</v>
      </c>
      <c r="C58" s="2">
        <v>10399000</v>
      </c>
      <c r="D58" s="2">
        <v>10230000</v>
      </c>
      <c r="E58" s="2">
        <v>15712000</v>
      </c>
      <c r="F58" s="2">
        <v>14843000</v>
      </c>
      <c r="G58" s="2">
        <v>23450000</v>
      </c>
      <c r="H58" s="2">
        <v>74634000</v>
      </c>
      <c r="I58" s="6">
        <v>2.2550245215886142</v>
      </c>
      <c r="J58" t="b">
        <v>0</v>
      </c>
      <c r="K58" s="2">
        <v>11406663.1</v>
      </c>
      <c r="L58" t="b">
        <v>0</v>
      </c>
      <c r="M58" s="7" t="s">
        <v>12</v>
      </c>
      <c r="N58" s="6">
        <v>0.61303813038130384</v>
      </c>
      <c r="O58" s="6">
        <v>0.56722090261282665</v>
      </c>
      <c r="P58" s="6">
        <v>0.65650663297536327</v>
      </c>
      <c r="Q58" s="6">
        <v>0.86326432354357241</v>
      </c>
      <c r="R58" s="6">
        <v>0.81826547043938347</v>
      </c>
      <c r="S58" s="8">
        <v>0.70365909199048993</v>
      </c>
      <c r="T58" s="9">
        <v>0.70365909199048993</v>
      </c>
      <c r="U58" t="s">
        <v>235</v>
      </c>
      <c r="V58" s="7">
        <v>4065</v>
      </c>
      <c r="W58" s="7">
        <v>4210</v>
      </c>
      <c r="X58" s="7">
        <v>6332</v>
      </c>
      <c r="Y58" s="7">
        <v>4154</v>
      </c>
      <c r="Z58" s="7">
        <v>4347</v>
      </c>
      <c r="AA58" s="7">
        <v>23108</v>
      </c>
      <c r="AB58">
        <v>2492</v>
      </c>
      <c r="AC58">
        <v>2388</v>
      </c>
      <c r="AD58">
        <v>4157</v>
      </c>
      <c r="AE58">
        <v>3586</v>
      </c>
      <c r="AF58">
        <v>3557</v>
      </c>
      <c r="AG58" s="7">
        <v>16180</v>
      </c>
    </row>
    <row r="59" spans="1:33" x14ac:dyDescent="0.3">
      <c r="A59" t="s">
        <v>110</v>
      </c>
      <c r="B59" s="1" t="s">
        <v>12</v>
      </c>
      <c r="C59" s="28">
        <v>1958000</v>
      </c>
      <c r="D59" s="28">
        <v>1958000</v>
      </c>
      <c r="E59" s="28">
        <v>1958000</v>
      </c>
      <c r="F59" s="28">
        <v>1898000</v>
      </c>
      <c r="G59" s="28">
        <v>1898000</v>
      </c>
      <c r="H59" s="2">
        <v>9670000</v>
      </c>
      <c r="I59" s="6">
        <v>0.96935648621041881</v>
      </c>
      <c r="J59" t="b">
        <v>1</v>
      </c>
      <c r="K59" s="2">
        <v>2147730.2000000002</v>
      </c>
      <c r="L59" t="b">
        <v>1</v>
      </c>
      <c r="M59" s="7" t="s">
        <v>12</v>
      </c>
      <c r="N59" s="6">
        <v>0.91</v>
      </c>
      <c r="O59" s="6">
        <v>0.88</v>
      </c>
      <c r="P59" s="6">
        <v>0.91</v>
      </c>
      <c r="Q59" s="6">
        <v>0.94</v>
      </c>
      <c r="S59" s="8">
        <v>0.91</v>
      </c>
      <c r="T59" s="9">
        <v>0.91</v>
      </c>
      <c r="U59" t="s">
        <v>228</v>
      </c>
      <c r="V59" s="7">
        <v>5358</v>
      </c>
      <c r="W59" s="7">
        <v>4067</v>
      </c>
      <c r="X59" s="7">
        <v>3870</v>
      </c>
      <c r="Y59" s="7">
        <v>4047</v>
      </c>
      <c r="Z59" s="7">
        <v>2728</v>
      </c>
      <c r="AA59" s="7">
        <v>20070</v>
      </c>
      <c r="AG59" s="7"/>
    </row>
    <row r="60" spans="1:33" x14ac:dyDescent="0.3">
      <c r="A60" t="s">
        <v>115</v>
      </c>
      <c r="B60" s="1" t="s">
        <v>12</v>
      </c>
      <c r="C60" s="2">
        <v>25900000</v>
      </c>
      <c r="D60" s="2">
        <v>23200000</v>
      </c>
      <c r="E60" s="2">
        <v>17400000</v>
      </c>
      <c r="F60" s="2">
        <v>9100000</v>
      </c>
      <c r="G60" s="2">
        <v>30600000</v>
      </c>
      <c r="H60" s="2">
        <v>106200000</v>
      </c>
      <c r="I60" s="6">
        <v>1.1814671814671815</v>
      </c>
      <c r="J60" t="b">
        <v>0</v>
      </c>
      <c r="K60" s="2">
        <v>28409710</v>
      </c>
      <c r="L60" t="b">
        <v>0</v>
      </c>
      <c r="M60" s="7"/>
      <c r="N60" s="6"/>
      <c r="O60" s="6"/>
      <c r="P60" s="6"/>
      <c r="Q60" s="6"/>
      <c r="R60" s="6"/>
      <c r="S60" s="8"/>
      <c r="T60" s="9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G60" s="7">
        <v>0</v>
      </c>
    </row>
    <row r="61" spans="1:33" x14ac:dyDescent="0.3">
      <c r="A61" t="s">
        <v>116</v>
      </c>
      <c r="B61" s="1" t="s">
        <v>12</v>
      </c>
      <c r="C61" s="2">
        <v>1176000</v>
      </c>
      <c r="D61" s="2">
        <v>1232143</v>
      </c>
      <c r="E61" s="2">
        <v>91436745</v>
      </c>
      <c r="F61" s="2">
        <v>1080749</v>
      </c>
      <c r="G61" s="2">
        <v>2602700</v>
      </c>
      <c r="H61" s="2">
        <v>97528337</v>
      </c>
      <c r="I61" s="6">
        <v>2.2131802721088434</v>
      </c>
      <c r="J61" t="b">
        <v>0</v>
      </c>
      <c r="K61" s="2">
        <v>1289954.3999999999</v>
      </c>
      <c r="L61" t="b">
        <v>0</v>
      </c>
      <c r="M61" s="7" t="s">
        <v>12</v>
      </c>
      <c r="N61" s="6">
        <v>0.99629999999999996</v>
      </c>
      <c r="O61" s="6">
        <v>0.99428000000000005</v>
      </c>
      <c r="P61" s="6">
        <v>0.98914000000000013</v>
      </c>
      <c r="Q61" s="6">
        <v>0.99771999999999994</v>
      </c>
      <c r="R61" s="6">
        <v>0.99570000000000003</v>
      </c>
      <c r="S61" s="8">
        <v>0.99462799999999996</v>
      </c>
      <c r="T61" s="9">
        <v>0.99462799999999996</v>
      </c>
      <c r="U61" t="s">
        <v>228</v>
      </c>
      <c r="V61" s="7">
        <v>1411</v>
      </c>
      <c r="W61" s="7">
        <v>1526</v>
      </c>
      <c r="X61" s="7">
        <v>1767</v>
      </c>
      <c r="Y61" s="7">
        <v>1663</v>
      </c>
      <c r="Z61" s="7">
        <v>979</v>
      </c>
      <c r="AA61" s="7">
        <v>7346</v>
      </c>
      <c r="AG61" s="7">
        <v>0</v>
      </c>
    </row>
    <row r="62" spans="1:33" x14ac:dyDescent="0.3">
      <c r="A62" t="s">
        <v>118</v>
      </c>
      <c r="B62" s="1" t="s">
        <v>12</v>
      </c>
      <c r="C62" s="2">
        <v>3703229</v>
      </c>
      <c r="D62" s="2">
        <v>3560770</v>
      </c>
      <c r="E62" s="2">
        <v>3420290</v>
      </c>
      <c r="F62" s="2">
        <v>3652427</v>
      </c>
      <c r="G62" s="2">
        <v>3080000</v>
      </c>
      <c r="H62" s="2">
        <v>17416716</v>
      </c>
      <c r="I62" s="6">
        <v>0.83170659983490081</v>
      </c>
      <c r="J62" t="b">
        <v>1</v>
      </c>
      <c r="K62" s="2">
        <v>4062071.8901</v>
      </c>
      <c r="L62" t="b">
        <v>1</v>
      </c>
      <c r="M62" s="7"/>
      <c r="S62" s="7"/>
      <c r="T62" s="9">
        <v>0</v>
      </c>
      <c r="V62" s="7"/>
      <c r="W62" s="7"/>
      <c r="X62" s="7"/>
      <c r="Y62" s="7"/>
      <c r="Z62" s="7"/>
      <c r="AA62" s="7"/>
      <c r="AG62" s="7"/>
    </row>
    <row r="63" spans="1:33" x14ac:dyDescent="0.3">
      <c r="A63" t="s">
        <v>119</v>
      </c>
      <c r="B63" s="1" t="s">
        <v>12</v>
      </c>
      <c r="C63" s="2">
        <v>107149</v>
      </c>
      <c r="D63" s="2">
        <v>83221</v>
      </c>
      <c r="E63" s="2">
        <v>104564</v>
      </c>
      <c r="F63" s="2">
        <v>52005</v>
      </c>
      <c r="G63" s="2">
        <v>850000</v>
      </c>
      <c r="H63" s="2">
        <v>1196939</v>
      </c>
      <c r="I63" s="6">
        <v>7.9328785149651422</v>
      </c>
      <c r="J63" t="b">
        <v>0</v>
      </c>
      <c r="K63" s="2">
        <v>117531.7381</v>
      </c>
      <c r="L63" t="b">
        <v>0</v>
      </c>
      <c r="M63" s="7"/>
      <c r="N63" s="6"/>
      <c r="O63" s="6"/>
      <c r="P63" s="6"/>
      <c r="Q63" s="6"/>
      <c r="R63" s="6"/>
      <c r="S63" s="8"/>
      <c r="T63" s="9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G63" s="7">
        <v>0</v>
      </c>
    </row>
    <row r="64" spans="1:33" x14ac:dyDescent="0.3">
      <c r="A64" t="s">
        <v>126</v>
      </c>
      <c r="B64" s="1" t="s">
        <v>12</v>
      </c>
      <c r="C64" s="38">
        <v>5528340</v>
      </c>
      <c r="D64" s="38">
        <v>7242594</v>
      </c>
      <c r="E64" s="38">
        <v>5317003</v>
      </c>
      <c r="F64" s="38">
        <v>5530361</v>
      </c>
      <c r="G64" s="38">
        <v>5159857</v>
      </c>
      <c r="H64" s="2">
        <v>28778155</v>
      </c>
      <c r="I64" s="6">
        <v>0.93334653802045464</v>
      </c>
      <c r="J64" t="b">
        <v>1</v>
      </c>
      <c r="K64" s="2">
        <v>6064036.1459999997</v>
      </c>
      <c r="L64" t="b">
        <v>1</v>
      </c>
      <c r="M64" s="7"/>
      <c r="N64" s="6"/>
      <c r="O64" s="6"/>
      <c r="P64" s="6"/>
      <c r="Q64" s="6"/>
      <c r="R64" s="6"/>
      <c r="S64" s="8"/>
      <c r="T64" s="9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G64" s="7">
        <v>0</v>
      </c>
    </row>
    <row r="65" spans="1:33" x14ac:dyDescent="0.3">
      <c r="A65" t="s">
        <v>127</v>
      </c>
      <c r="B65" s="1" t="s">
        <v>12</v>
      </c>
      <c r="C65" s="2">
        <v>2227100</v>
      </c>
      <c r="D65" s="2">
        <v>2122200</v>
      </c>
      <c r="E65" s="2">
        <v>2017300</v>
      </c>
      <c r="F65" s="2">
        <v>2521200</v>
      </c>
      <c r="G65" s="2">
        <v>2929800</v>
      </c>
      <c r="H65" s="2">
        <v>11817600</v>
      </c>
      <c r="I65" s="6">
        <v>1.3155224282699474</v>
      </c>
      <c r="J65" t="b">
        <v>0</v>
      </c>
      <c r="K65" s="2">
        <v>2442905.9899999998</v>
      </c>
      <c r="L65" t="b">
        <v>0</v>
      </c>
      <c r="M65" s="7" t="s">
        <v>12</v>
      </c>
      <c r="N65" s="6">
        <v>0.75902934537246047</v>
      </c>
      <c r="O65" s="6">
        <v>0.78482328482328478</v>
      </c>
      <c r="P65" s="6">
        <v>1.096638655462185</v>
      </c>
      <c r="Q65" s="6">
        <v>0.53859060402684567</v>
      </c>
      <c r="R65" s="6">
        <v>0.81690140845070425</v>
      </c>
      <c r="S65" s="8">
        <v>0.79919665962709596</v>
      </c>
      <c r="T65" s="9">
        <v>0.79919665962709596</v>
      </c>
      <c r="U65" t="s">
        <v>271</v>
      </c>
      <c r="V65" s="7">
        <v>1772</v>
      </c>
      <c r="W65" s="7">
        <v>1924</v>
      </c>
      <c r="X65" s="7">
        <v>1190</v>
      </c>
      <c r="Y65" s="7">
        <v>1192</v>
      </c>
      <c r="Z65" s="7">
        <v>639</v>
      </c>
      <c r="AA65" s="7">
        <v>6717</v>
      </c>
      <c r="AB65">
        <v>1345</v>
      </c>
      <c r="AC65">
        <v>1510</v>
      </c>
      <c r="AD65">
        <v>1305</v>
      </c>
      <c r="AE65">
        <v>642</v>
      </c>
      <c r="AF65">
        <v>522</v>
      </c>
      <c r="AG65" s="7">
        <v>5324</v>
      </c>
    </row>
    <row r="66" spans="1:33" x14ac:dyDescent="0.3">
      <c r="A66" t="s">
        <v>129</v>
      </c>
      <c r="B66" s="1" t="s">
        <v>12</v>
      </c>
      <c r="C66" s="34">
        <v>5319048</v>
      </c>
      <c r="D66" s="34">
        <v>7286966.8300000001</v>
      </c>
      <c r="E66" s="34">
        <v>10296864</v>
      </c>
      <c r="F66" s="34">
        <v>6768686</v>
      </c>
      <c r="G66" s="34">
        <v>8608602</v>
      </c>
      <c r="H66" s="2">
        <v>38280166.829999998</v>
      </c>
      <c r="I66" s="6">
        <v>1.6184478876671164</v>
      </c>
      <c r="J66" t="b">
        <v>0</v>
      </c>
      <c r="K66" s="2">
        <v>5834463.7511999998</v>
      </c>
      <c r="L66" t="b">
        <v>0</v>
      </c>
      <c r="M66" s="7" t="s">
        <v>12</v>
      </c>
      <c r="N66" s="6">
        <v>0.45005574136008919</v>
      </c>
      <c r="O66" s="6">
        <v>0.4842244573848597</v>
      </c>
      <c r="P66" s="6">
        <v>0.46466039501551493</v>
      </c>
      <c r="Q66" s="6">
        <v>0.62577974054650842</v>
      </c>
      <c r="R66" s="6">
        <v>0.69047247777951037</v>
      </c>
      <c r="S66" s="8">
        <v>0.54303856241729653</v>
      </c>
      <c r="T66" s="9">
        <v>0.54303856241729653</v>
      </c>
      <c r="U66" t="s">
        <v>235</v>
      </c>
      <c r="V66" s="7">
        <v>17940</v>
      </c>
      <c r="W66" s="7">
        <v>18890</v>
      </c>
      <c r="X66" s="7">
        <v>20303</v>
      </c>
      <c r="Y66" s="7">
        <v>18115</v>
      </c>
      <c r="Z66" s="7">
        <v>12826</v>
      </c>
      <c r="AA66" s="7">
        <v>88074</v>
      </c>
      <c r="AB66">
        <v>8074</v>
      </c>
      <c r="AC66">
        <v>9147</v>
      </c>
      <c r="AD66">
        <v>9434</v>
      </c>
      <c r="AE66">
        <v>11336</v>
      </c>
      <c r="AF66">
        <v>8856</v>
      </c>
      <c r="AG66" s="7">
        <v>46847</v>
      </c>
    </row>
    <row r="67" spans="1:33" x14ac:dyDescent="0.3">
      <c r="A67" t="s">
        <v>131</v>
      </c>
      <c r="B67" s="1"/>
      <c r="I67" s="6"/>
      <c r="J67" t="b">
        <v>0</v>
      </c>
      <c r="K67" s="2">
        <v>0</v>
      </c>
      <c r="L67" t="b">
        <v>0</v>
      </c>
      <c r="M67" s="7" t="s">
        <v>12</v>
      </c>
      <c r="N67" s="6">
        <v>0.69945355191256831</v>
      </c>
      <c r="O67" s="6">
        <v>0.55888030888030893</v>
      </c>
      <c r="P67" s="6">
        <v>0.86092214663643241</v>
      </c>
      <c r="Q67" s="6">
        <v>0.9490909090909091</v>
      </c>
      <c r="R67" s="6">
        <v>0.9682151589242054</v>
      </c>
      <c r="S67" s="8">
        <v>0.80731241508888496</v>
      </c>
      <c r="T67" s="9">
        <v>0.80731241508888496</v>
      </c>
      <c r="U67" t="s">
        <v>271</v>
      </c>
      <c r="V67" s="7">
        <v>1098</v>
      </c>
      <c r="W67" s="7">
        <v>1036</v>
      </c>
      <c r="X67" s="7">
        <v>1323</v>
      </c>
      <c r="Y67" s="7">
        <v>825</v>
      </c>
      <c r="Z67" s="7">
        <v>818</v>
      </c>
      <c r="AA67" s="7">
        <v>5098</v>
      </c>
      <c r="AB67">
        <v>768</v>
      </c>
      <c r="AC67">
        <v>579</v>
      </c>
      <c r="AD67">
        <v>1139</v>
      </c>
      <c r="AE67">
        <v>783</v>
      </c>
      <c r="AF67">
        <v>792</v>
      </c>
      <c r="AG67" s="7">
        <v>4061</v>
      </c>
    </row>
    <row r="68" spans="1:33" x14ac:dyDescent="0.3">
      <c r="A68" s="29" t="s">
        <v>135</v>
      </c>
      <c r="B68" s="27"/>
      <c r="C68" s="28"/>
      <c r="D68" s="28"/>
      <c r="E68" s="28"/>
      <c r="F68" s="28"/>
      <c r="G68" s="28"/>
      <c r="H68" s="28"/>
      <c r="I68" s="10"/>
      <c r="J68" s="29" t="b">
        <v>0</v>
      </c>
      <c r="K68" s="28">
        <v>0</v>
      </c>
      <c r="L68" s="29" t="b">
        <v>0</v>
      </c>
      <c r="M68" s="7" t="s">
        <v>12</v>
      </c>
      <c r="N68" s="10">
        <v>1</v>
      </c>
      <c r="O68" s="10">
        <v>1</v>
      </c>
      <c r="P68" s="10">
        <v>1</v>
      </c>
      <c r="Q68" s="10">
        <v>1</v>
      </c>
      <c r="R68" s="10">
        <v>1</v>
      </c>
      <c r="S68" s="8">
        <v>1</v>
      </c>
      <c r="T68" s="35">
        <v>1</v>
      </c>
      <c r="U68" s="29" t="s">
        <v>272</v>
      </c>
      <c r="V68" s="7">
        <v>7852</v>
      </c>
      <c r="W68" s="7">
        <v>6322</v>
      </c>
      <c r="X68" s="7">
        <v>7852</v>
      </c>
      <c r="Y68" s="7">
        <v>8552</v>
      </c>
      <c r="Z68" s="7">
        <v>4480</v>
      </c>
      <c r="AA68" s="7">
        <v>35058</v>
      </c>
      <c r="AB68" s="29"/>
      <c r="AC68" s="29"/>
      <c r="AD68" s="29"/>
      <c r="AE68" s="29"/>
      <c r="AF68" s="29"/>
      <c r="AG68" s="7">
        <v>0</v>
      </c>
    </row>
    <row r="69" spans="1:33" x14ac:dyDescent="0.3">
      <c r="A69" t="s">
        <v>136</v>
      </c>
      <c r="B69" s="1" t="s">
        <v>12</v>
      </c>
      <c r="C69" s="2">
        <v>41297500</v>
      </c>
      <c r="D69" s="2">
        <v>43123300</v>
      </c>
      <c r="E69" s="2">
        <v>41940900</v>
      </c>
      <c r="F69" s="2">
        <v>49991200</v>
      </c>
      <c r="G69" s="2">
        <v>50015000</v>
      </c>
      <c r="H69" s="2">
        <v>226367900</v>
      </c>
      <c r="I69" s="6">
        <v>1.2110902597009505</v>
      </c>
      <c r="J69" t="b">
        <v>0</v>
      </c>
      <c r="K69" s="2">
        <v>45299227.75</v>
      </c>
      <c r="L69" t="b">
        <v>0</v>
      </c>
      <c r="M69" s="7"/>
      <c r="N69" s="6"/>
      <c r="O69" s="6"/>
      <c r="P69" s="6"/>
      <c r="Q69" s="6"/>
      <c r="R69" s="6"/>
      <c r="S69" s="8"/>
      <c r="T69" s="9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G69" s="7">
        <v>0</v>
      </c>
    </row>
    <row r="70" spans="1:33" x14ac:dyDescent="0.3">
      <c r="A70" t="s">
        <v>137</v>
      </c>
      <c r="B70" s="1" t="s">
        <v>12</v>
      </c>
      <c r="C70" s="2">
        <v>11487311</v>
      </c>
      <c r="D70" s="2">
        <v>12455311</v>
      </c>
      <c r="E70" s="2">
        <v>12263741</v>
      </c>
      <c r="F70" s="2">
        <v>12945271</v>
      </c>
      <c r="G70" s="2">
        <v>14990471</v>
      </c>
      <c r="H70" s="2">
        <v>64142105</v>
      </c>
      <c r="I70" s="6">
        <v>1.3049590979124706</v>
      </c>
      <c r="J70" t="b">
        <v>0</v>
      </c>
      <c r="K70" s="2">
        <v>12600431.435899999</v>
      </c>
      <c r="L70" t="b">
        <v>0</v>
      </c>
      <c r="M70" s="7"/>
      <c r="N70" s="6"/>
      <c r="O70" s="6"/>
      <c r="P70" s="6"/>
      <c r="Q70" s="6"/>
      <c r="R70" s="6"/>
      <c r="S70" s="8"/>
      <c r="T70" s="9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G70" s="7">
        <v>0</v>
      </c>
    </row>
    <row r="71" spans="1:33" x14ac:dyDescent="0.3">
      <c r="A71" t="s">
        <v>140</v>
      </c>
      <c r="B71" s="1" t="s">
        <v>12</v>
      </c>
      <c r="C71" s="2">
        <v>2389000</v>
      </c>
      <c r="D71" s="2">
        <v>2255000</v>
      </c>
      <c r="E71" s="2">
        <v>3237000</v>
      </c>
      <c r="F71" s="2">
        <v>1955319</v>
      </c>
      <c r="G71" s="2">
        <v>3744000</v>
      </c>
      <c r="H71" s="2">
        <v>13580319</v>
      </c>
      <c r="I71" s="6">
        <v>1.567182921724571</v>
      </c>
      <c r="J71" t="b">
        <v>0</v>
      </c>
      <c r="K71" s="2">
        <v>2620494.1</v>
      </c>
      <c r="L71" t="b">
        <v>0</v>
      </c>
      <c r="M71" s="7"/>
      <c r="N71" s="6"/>
      <c r="O71" s="6"/>
      <c r="P71" s="6"/>
      <c r="Q71" s="6"/>
      <c r="R71" s="6"/>
      <c r="S71" s="8"/>
      <c r="T71" s="9">
        <v>0</v>
      </c>
      <c r="V71" s="29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G71" s="7">
        <v>0</v>
      </c>
    </row>
    <row r="72" spans="1:33" x14ac:dyDescent="0.3">
      <c r="A72" t="s">
        <v>141</v>
      </c>
      <c r="B72" s="1"/>
      <c r="C72" s="2"/>
      <c r="D72" s="2"/>
      <c r="E72" s="2"/>
      <c r="F72" s="2"/>
      <c r="G72" s="2"/>
      <c r="H72" s="2"/>
      <c r="I72" s="6"/>
      <c r="J72" t="b">
        <v>0</v>
      </c>
      <c r="K72" s="2">
        <v>0</v>
      </c>
      <c r="L72" t="b">
        <v>0</v>
      </c>
      <c r="M72" s="7" t="s">
        <v>12</v>
      </c>
      <c r="P72" s="6">
        <v>0.96140000000000003</v>
      </c>
      <c r="Q72" s="6">
        <v>0.98560000000000003</v>
      </c>
      <c r="R72" s="6">
        <v>0.96260000000000001</v>
      </c>
      <c r="S72" s="8">
        <v>0.96986666666666665</v>
      </c>
      <c r="T72" s="9">
        <v>0.96986666666666665</v>
      </c>
      <c r="U72" t="s">
        <v>228</v>
      </c>
      <c r="V72" s="7">
        <v>0</v>
      </c>
      <c r="W72" s="7">
        <v>72362</v>
      </c>
      <c r="X72" s="7">
        <v>118185</v>
      </c>
      <c r="Y72" s="7">
        <v>90925</v>
      </c>
      <c r="Z72" s="7">
        <v>93158</v>
      </c>
      <c r="AA72" s="7">
        <v>374630</v>
      </c>
      <c r="AG72" s="7">
        <v>0</v>
      </c>
    </row>
    <row r="73" spans="1:33" x14ac:dyDescent="0.3">
      <c r="A73" t="s">
        <v>142</v>
      </c>
      <c r="B73" s="1" t="s">
        <v>12</v>
      </c>
      <c r="C73" s="2">
        <v>3285813</v>
      </c>
      <c r="D73" s="2">
        <v>4425774</v>
      </c>
      <c r="E73" s="2">
        <v>7703645</v>
      </c>
      <c r="F73" s="2">
        <v>7619319</v>
      </c>
      <c r="G73" s="2">
        <v>7806462</v>
      </c>
      <c r="H73" s="2">
        <v>30841013</v>
      </c>
      <c r="I73" s="6">
        <v>2.3758083615835717</v>
      </c>
      <c r="J73" t="b">
        <v>0</v>
      </c>
      <c r="K73" s="2">
        <v>3604208.2796999998</v>
      </c>
      <c r="L73" t="b">
        <v>0</v>
      </c>
      <c r="M73" s="7"/>
      <c r="N73" s="6"/>
      <c r="O73" s="6"/>
      <c r="P73" s="6"/>
      <c r="Q73" s="6"/>
      <c r="R73" s="6"/>
      <c r="S73" s="8"/>
      <c r="T73" s="9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G73" s="7">
        <v>0</v>
      </c>
    </row>
    <row r="74" spans="1:33" x14ac:dyDescent="0.3">
      <c r="A74" t="s">
        <v>144</v>
      </c>
      <c r="B74" s="1" t="s">
        <v>12</v>
      </c>
      <c r="C74" s="2">
        <v>13300000</v>
      </c>
      <c r="D74" s="2">
        <v>15200000</v>
      </c>
      <c r="E74" s="2">
        <v>13500000</v>
      </c>
      <c r="F74" s="2">
        <v>13300000</v>
      </c>
      <c r="G74" s="2">
        <v>13100000</v>
      </c>
      <c r="H74" s="2">
        <v>68400000</v>
      </c>
      <c r="I74" s="6">
        <v>0.98496240601503759</v>
      </c>
      <c r="J74" t="b">
        <v>1</v>
      </c>
      <c r="K74" s="2">
        <v>14588770</v>
      </c>
      <c r="L74" t="b">
        <v>1</v>
      </c>
      <c r="M74" s="7"/>
      <c r="N74" s="6"/>
      <c r="O74" s="6"/>
      <c r="P74" s="6"/>
      <c r="Q74" s="6"/>
      <c r="R74" s="6"/>
      <c r="S74" s="8"/>
      <c r="T74" s="9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G74" s="7">
        <v>0</v>
      </c>
    </row>
    <row r="75" spans="1:33" x14ac:dyDescent="0.3">
      <c r="A75" t="s">
        <v>147</v>
      </c>
      <c r="B75" s="1" t="s">
        <v>12</v>
      </c>
      <c r="C75" s="2">
        <v>5261000</v>
      </c>
      <c r="D75" s="2">
        <v>6670000</v>
      </c>
      <c r="E75" s="2">
        <v>8374000</v>
      </c>
      <c r="F75" s="2">
        <v>4790000</v>
      </c>
      <c r="G75" s="2">
        <v>10455000</v>
      </c>
      <c r="H75" s="2">
        <v>35550000</v>
      </c>
      <c r="I75" s="6">
        <v>1.9872647785592092</v>
      </c>
      <c r="J75" t="b">
        <v>0</v>
      </c>
      <c r="K75" s="2">
        <v>5770790.9000000004</v>
      </c>
      <c r="L75" t="b">
        <v>0</v>
      </c>
      <c r="M75" s="7" t="s">
        <v>12</v>
      </c>
      <c r="N75" s="6">
        <v>0.97</v>
      </c>
      <c r="O75" s="6">
        <v>0.97</v>
      </c>
      <c r="P75" s="6">
        <v>0.96</v>
      </c>
      <c r="Q75" s="6">
        <v>0.95500000000000007</v>
      </c>
      <c r="R75" s="6">
        <v>0.92500000000000004</v>
      </c>
      <c r="S75" s="8">
        <v>0.95600000000000018</v>
      </c>
      <c r="T75" s="9">
        <v>0.95600000000000018</v>
      </c>
      <c r="U75" t="s">
        <v>228</v>
      </c>
      <c r="V75" s="29">
        <v>6946</v>
      </c>
      <c r="W75" s="7">
        <v>4288</v>
      </c>
      <c r="X75" s="7">
        <v>5434</v>
      </c>
      <c r="Y75" s="7">
        <v>3122</v>
      </c>
      <c r="Z75" s="7">
        <v>2592</v>
      </c>
      <c r="AA75" s="7">
        <v>22382</v>
      </c>
      <c r="AG75" s="7">
        <v>0</v>
      </c>
    </row>
    <row r="76" spans="1:33" x14ac:dyDescent="0.3">
      <c r="A76" t="s">
        <v>148</v>
      </c>
      <c r="B76" s="1" t="s">
        <v>12</v>
      </c>
      <c r="C76" s="2">
        <v>7556346</v>
      </c>
      <c r="D76" s="2">
        <v>6661949</v>
      </c>
      <c r="E76" s="2">
        <v>5762577</v>
      </c>
      <c r="F76" s="2">
        <v>4511359</v>
      </c>
      <c r="G76" s="2">
        <v>6254249</v>
      </c>
      <c r="H76" s="2">
        <v>30746480</v>
      </c>
      <c r="I76" s="6">
        <v>0.82768165989222831</v>
      </c>
      <c r="J76" t="b">
        <v>1</v>
      </c>
      <c r="K76" s="2">
        <v>8288555.9273999995</v>
      </c>
      <c r="L76" t="b">
        <v>1</v>
      </c>
      <c r="M76" s="7" t="s">
        <v>12</v>
      </c>
      <c r="O76" s="6">
        <v>0.75162454873646212</v>
      </c>
      <c r="P76" s="6">
        <v>0.66914498141263945</v>
      </c>
      <c r="Q76" s="6">
        <v>0.62946245383668442</v>
      </c>
      <c r="R76" s="6">
        <v>0.80928923293455313</v>
      </c>
      <c r="S76" s="8">
        <v>0.71488030423008475</v>
      </c>
      <c r="T76" s="9">
        <v>0.71488030423008475</v>
      </c>
      <c r="U76" t="s">
        <v>235</v>
      </c>
      <c r="V76" s="7">
        <v>0</v>
      </c>
      <c r="W76" s="7">
        <v>1385</v>
      </c>
      <c r="X76" s="7">
        <v>2959</v>
      </c>
      <c r="Y76" s="7">
        <v>2437</v>
      </c>
      <c r="Z76" s="7">
        <v>2842</v>
      </c>
      <c r="AA76" s="7">
        <v>9623</v>
      </c>
      <c r="AC76">
        <v>1041</v>
      </c>
      <c r="AD76">
        <v>1980</v>
      </c>
      <c r="AE76">
        <v>1534</v>
      </c>
      <c r="AF76">
        <v>2300</v>
      </c>
      <c r="AG76" s="7">
        <v>6855</v>
      </c>
    </row>
    <row r="77" spans="1:33" x14ac:dyDescent="0.3">
      <c r="A77" t="s">
        <v>149</v>
      </c>
      <c r="B77" s="1"/>
      <c r="C77" s="2"/>
      <c r="D77" s="2"/>
      <c r="E77" s="2"/>
      <c r="F77" s="2"/>
      <c r="G77" s="2"/>
      <c r="H77" s="2"/>
      <c r="I77" s="6"/>
      <c r="J77" t="b">
        <v>0</v>
      </c>
      <c r="K77" s="2">
        <v>0</v>
      </c>
      <c r="L77" t="b">
        <v>0</v>
      </c>
      <c r="M77" s="7"/>
      <c r="N77" s="6"/>
      <c r="O77" s="6"/>
      <c r="P77" s="6"/>
      <c r="Q77" s="6"/>
      <c r="R77" s="6"/>
      <c r="S77" s="8"/>
      <c r="T77" s="9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G77" s="7">
        <v>0</v>
      </c>
    </row>
    <row r="78" spans="1:33" x14ac:dyDescent="0.3">
      <c r="A78" t="s">
        <v>150</v>
      </c>
      <c r="B78" s="1" t="s">
        <v>12</v>
      </c>
      <c r="C78" s="2">
        <v>10262100</v>
      </c>
      <c r="D78" s="2">
        <v>11397900</v>
      </c>
      <c r="E78" s="2">
        <v>12045600</v>
      </c>
      <c r="F78" s="2">
        <v>12617300</v>
      </c>
      <c r="G78" s="2">
        <v>10768700</v>
      </c>
      <c r="H78" s="2">
        <v>57091600</v>
      </c>
      <c r="I78" s="6">
        <v>1.0493661141481763</v>
      </c>
      <c r="J78" t="b">
        <v>0</v>
      </c>
      <c r="K78" s="2">
        <v>11256497.49</v>
      </c>
      <c r="L78" t="b">
        <v>1</v>
      </c>
      <c r="M78" s="7" t="s">
        <v>12</v>
      </c>
      <c r="N78" s="6">
        <v>0.96012269938650308</v>
      </c>
      <c r="O78" s="6">
        <v>0.98405466970387245</v>
      </c>
      <c r="P78" s="6">
        <v>0.98098859315589348</v>
      </c>
      <c r="Q78" s="6">
        <v>1</v>
      </c>
      <c r="R78" s="6">
        <v>0.83958333333333335</v>
      </c>
      <c r="S78" s="10">
        <v>0.95294985911592045</v>
      </c>
      <c r="T78" s="9">
        <v>0.95294985911592045</v>
      </c>
      <c r="U78" t="s">
        <v>228</v>
      </c>
      <c r="V78" s="7">
        <v>652</v>
      </c>
      <c r="W78" s="7">
        <v>878</v>
      </c>
      <c r="X78" s="7">
        <v>1315</v>
      </c>
      <c r="Y78" s="7">
        <v>1053</v>
      </c>
      <c r="Z78" s="7">
        <v>960</v>
      </c>
      <c r="AA78" s="7">
        <v>4858</v>
      </c>
      <c r="AB78">
        <v>626</v>
      </c>
      <c r="AC78">
        <v>864</v>
      </c>
      <c r="AD78">
        <v>1290</v>
      </c>
      <c r="AE78">
        <v>1053</v>
      </c>
      <c r="AF78">
        <v>806</v>
      </c>
      <c r="AG78" s="7">
        <v>4639</v>
      </c>
    </row>
    <row r="79" spans="1:33" x14ac:dyDescent="0.3">
      <c r="A79" t="s">
        <v>152</v>
      </c>
      <c r="B79" s="1" t="s">
        <v>12</v>
      </c>
      <c r="C79" s="2">
        <v>2488000</v>
      </c>
      <c r="D79" s="2">
        <v>2611090</v>
      </c>
      <c r="E79" s="2">
        <v>2503090</v>
      </c>
      <c r="F79" s="2">
        <v>2633000</v>
      </c>
      <c r="G79" s="2">
        <v>5090000</v>
      </c>
      <c r="H79" s="2">
        <v>15325180</v>
      </c>
      <c r="I79" s="6">
        <v>2.0458199356913185</v>
      </c>
      <c r="J79" t="b">
        <v>0</v>
      </c>
      <c r="K79" s="2">
        <v>2729087.2</v>
      </c>
      <c r="L79" t="b">
        <v>0</v>
      </c>
      <c r="M79" s="7"/>
      <c r="N79" s="6"/>
      <c r="O79" s="6"/>
      <c r="P79" s="6"/>
      <c r="Q79" s="6"/>
      <c r="R79" s="6"/>
      <c r="S79" s="8"/>
      <c r="T79" s="9">
        <v>0</v>
      </c>
      <c r="U79" t="s">
        <v>279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G79" s="7">
        <v>0</v>
      </c>
    </row>
    <row r="80" spans="1:33" x14ac:dyDescent="0.3">
      <c r="A80" t="s">
        <v>153</v>
      </c>
      <c r="B80" s="1" t="s">
        <v>12</v>
      </c>
      <c r="C80" s="2">
        <v>4790720</v>
      </c>
      <c r="D80" s="2">
        <v>4721156</v>
      </c>
      <c r="E80" s="2">
        <v>4278720</v>
      </c>
      <c r="F80" s="2">
        <v>4500467</v>
      </c>
      <c r="G80" s="2">
        <v>8381800</v>
      </c>
      <c r="H80" s="2">
        <v>26672863</v>
      </c>
      <c r="I80" s="6">
        <v>1.7495908756930065</v>
      </c>
      <c r="J80" t="b">
        <v>0</v>
      </c>
      <c r="K80" s="2">
        <v>5254940.7680000002</v>
      </c>
      <c r="L80" t="b">
        <v>0</v>
      </c>
      <c r="M80" s="7"/>
      <c r="N80" s="6"/>
      <c r="O80" s="6"/>
      <c r="P80" s="6"/>
      <c r="Q80" s="6"/>
      <c r="R80" s="6"/>
      <c r="S80" s="8"/>
      <c r="T80" s="9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G80" s="7">
        <v>0</v>
      </c>
    </row>
    <row r="81" spans="1:33" x14ac:dyDescent="0.3">
      <c r="A81" t="s">
        <v>158</v>
      </c>
      <c r="B81" s="1" t="s">
        <v>12</v>
      </c>
      <c r="C81" s="28">
        <v>1266000</v>
      </c>
      <c r="D81" s="28">
        <v>1269000</v>
      </c>
      <c r="E81" s="28">
        <v>1140000</v>
      </c>
      <c r="F81" s="28">
        <v>1213000</v>
      </c>
      <c r="G81" s="28">
        <v>1287000</v>
      </c>
      <c r="H81" s="2">
        <v>6175000</v>
      </c>
      <c r="I81" s="6">
        <v>1.0165876777251184</v>
      </c>
      <c r="J81" t="b">
        <v>0</v>
      </c>
      <c r="K81" s="2">
        <v>1388675.4</v>
      </c>
      <c r="L81" t="b">
        <v>1</v>
      </c>
      <c r="M81" s="7"/>
      <c r="N81" s="6"/>
      <c r="O81" s="6"/>
      <c r="P81" s="6"/>
      <c r="Q81" s="6"/>
      <c r="R81" s="6"/>
      <c r="S81" s="8">
        <v>0</v>
      </c>
      <c r="T81" s="9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G81" s="7">
        <v>0</v>
      </c>
    </row>
    <row r="82" spans="1:33" x14ac:dyDescent="0.3">
      <c r="A82" t="s">
        <v>159</v>
      </c>
      <c r="B82" s="1" t="s">
        <v>12</v>
      </c>
      <c r="C82" s="28">
        <v>7108410</v>
      </c>
      <c r="D82" s="28">
        <v>8063773</v>
      </c>
      <c r="E82" s="28">
        <v>10892748</v>
      </c>
      <c r="F82" s="28">
        <v>10301061</v>
      </c>
      <c r="G82" s="28">
        <v>14323785</v>
      </c>
      <c r="H82" s="2">
        <v>50689777</v>
      </c>
      <c r="I82" s="6">
        <v>2.0150476688879793</v>
      </c>
      <c r="J82" t="b">
        <v>0</v>
      </c>
      <c r="K82" s="2">
        <v>7797214.9289999995</v>
      </c>
      <c r="L82" t="b">
        <v>0</v>
      </c>
      <c r="M82" s="7" t="s">
        <v>12</v>
      </c>
      <c r="N82" s="6">
        <v>0.93767656583752501</v>
      </c>
      <c r="O82" s="6">
        <v>0.94845537757437071</v>
      </c>
      <c r="P82" s="6">
        <v>0.89843424195321686</v>
      </c>
      <c r="Q82" s="6">
        <v>0.94836675625387634</v>
      </c>
      <c r="R82" s="6">
        <v>0.98576512455516019</v>
      </c>
      <c r="S82" s="8">
        <v>0.94373961323482991</v>
      </c>
      <c r="T82" s="9">
        <v>0.94373961323482991</v>
      </c>
      <c r="U82" t="s">
        <v>228</v>
      </c>
      <c r="V82" s="7">
        <v>29026</v>
      </c>
      <c r="W82" s="7">
        <v>17480</v>
      </c>
      <c r="X82" s="7">
        <v>26377</v>
      </c>
      <c r="Y82" s="7">
        <v>19348</v>
      </c>
      <c r="Z82" s="7">
        <v>16298</v>
      </c>
      <c r="AA82" s="7">
        <v>108529</v>
      </c>
      <c r="AB82">
        <v>27217</v>
      </c>
      <c r="AC82">
        <v>16579</v>
      </c>
      <c r="AD82">
        <v>23698</v>
      </c>
      <c r="AE82">
        <v>18349</v>
      </c>
      <c r="AF82">
        <v>16066</v>
      </c>
      <c r="AG82" s="7">
        <v>101909</v>
      </c>
    </row>
    <row r="83" spans="1:33" x14ac:dyDescent="0.3">
      <c r="A83" t="s">
        <v>160</v>
      </c>
      <c r="B83" s="1" t="s">
        <v>12</v>
      </c>
      <c r="C83" s="38">
        <v>2169000</v>
      </c>
      <c r="D83" s="38">
        <v>2310000</v>
      </c>
      <c r="E83" s="38">
        <v>1911700</v>
      </c>
      <c r="F83" s="38">
        <v>1836884</v>
      </c>
      <c r="G83" s="38">
        <v>2040500</v>
      </c>
      <c r="H83" s="2">
        <v>10268084</v>
      </c>
      <c r="I83" s="6">
        <v>0.94075610880590133</v>
      </c>
      <c r="J83" t="b">
        <v>1</v>
      </c>
      <c r="K83" s="2">
        <v>2379176.1</v>
      </c>
      <c r="L83" t="b">
        <v>1</v>
      </c>
      <c r="M83" s="7"/>
      <c r="N83" s="6"/>
      <c r="O83" s="6"/>
      <c r="P83" s="6"/>
      <c r="Q83" s="6"/>
      <c r="R83" s="6"/>
      <c r="S83" s="8">
        <v>0</v>
      </c>
      <c r="T83" s="9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G83" s="7">
        <v>0</v>
      </c>
    </row>
    <row r="84" spans="1:33" x14ac:dyDescent="0.3">
      <c r="A84" t="s">
        <v>161</v>
      </c>
      <c r="B84" s="1" t="s">
        <v>12</v>
      </c>
      <c r="C84" s="3">
        <v>5065341</v>
      </c>
      <c r="D84" s="3">
        <v>5347692</v>
      </c>
      <c r="E84" s="3">
        <v>3383132</v>
      </c>
      <c r="F84" s="3">
        <v>4099067</v>
      </c>
      <c r="G84" s="3">
        <v>3492130</v>
      </c>
      <c r="H84" s="2">
        <v>21387362</v>
      </c>
      <c r="I84" s="6">
        <v>0.68941656642662363</v>
      </c>
      <c r="J84" t="b">
        <v>1</v>
      </c>
      <c r="K84" s="2">
        <v>5556172.5428999998</v>
      </c>
      <c r="L84" t="b">
        <v>1</v>
      </c>
      <c r="M84" s="7" t="s">
        <v>12</v>
      </c>
      <c r="N84" s="6">
        <v>0.94594594594594594</v>
      </c>
      <c r="O84" s="6">
        <v>0.91854915685650651</v>
      </c>
      <c r="P84" s="6">
        <v>0.97701883179061599</v>
      </c>
      <c r="Q84" s="6">
        <v>0.93103448275862066</v>
      </c>
      <c r="R84" s="6">
        <v>0.86450584484590864</v>
      </c>
      <c r="S84" s="8">
        <v>0.92741085243951948</v>
      </c>
      <c r="T84" s="9">
        <v>0.92741085243951948</v>
      </c>
      <c r="U84" t="s">
        <v>228</v>
      </c>
      <c r="V84" s="7">
        <v>2997</v>
      </c>
      <c r="W84" s="7">
        <v>3143</v>
      </c>
      <c r="X84" s="7">
        <v>3133</v>
      </c>
      <c r="Y84" s="7">
        <v>3016</v>
      </c>
      <c r="Z84" s="7">
        <v>1882</v>
      </c>
      <c r="AA84" s="7">
        <v>14171</v>
      </c>
      <c r="AB84">
        <v>2835</v>
      </c>
      <c r="AC84">
        <v>2887</v>
      </c>
      <c r="AD84">
        <v>3061</v>
      </c>
      <c r="AE84">
        <v>2808</v>
      </c>
      <c r="AF84">
        <v>1627</v>
      </c>
      <c r="AG84" s="7">
        <v>13218</v>
      </c>
    </row>
    <row r="85" spans="1:33" x14ac:dyDescent="0.3">
      <c r="A85" t="s">
        <v>162</v>
      </c>
      <c r="B85" s="1" t="s">
        <v>12</v>
      </c>
      <c r="C85" s="2">
        <v>6420000</v>
      </c>
      <c r="D85" s="2">
        <v>5142000</v>
      </c>
      <c r="E85" s="2">
        <v>4117000</v>
      </c>
      <c r="F85" s="2">
        <v>3522000</v>
      </c>
      <c r="G85" s="2">
        <v>3433000</v>
      </c>
      <c r="H85" s="2">
        <v>22634000</v>
      </c>
      <c r="I85" s="6">
        <v>0.53473520249221185</v>
      </c>
      <c r="J85" t="b">
        <v>1</v>
      </c>
      <c r="K85" s="2">
        <v>7042098</v>
      </c>
      <c r="L85" t="b">
        <v>1</v>
      </c>
      <c r="M85" s="7"/>
      <c r="N85" s="6"/>
      <c r="O85" s="6"/>
      <c r="P85" s="6"/>
      <c r="Q85" s="6"/>
      <c r="R85" s="6"/>
      <c r="S85" s="8">
        <v>0</v>
      </c>
      <c r="T85" s="9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G85" s="7">
        <v>0</v>
      </c>
    </row>
    <row r="86" spans="1:33" x14ac:dyDescent="0.3">
      <c r="A86" t="s">
        <v>168</v>
      </c>
      <c r="B86" s="1" t="s">
        <v>12</v>
      </c>
      <c r="C86" s="2">
        <v>1789000</v>
      </c>
      <c r="D86" s="2">
        <v>1789000</v>
      </c>
      <c r="E86" s="2">
        <v>2289000</v>
      </c>
      <c r="F86" s="2">
        <v>1789000</v>
      </c>
      <c r="G86" s="2">
        <v>1789000</v>
      </c>
      <c r="H86" s="2">
        <v>9445000</v>
      </c>
      <c r="I86" s="6">
        <v>1</v>
      </c>
      <c r="J86" t="b">
        <v>0</v>
      </c>
      <c r="K86" s="2">
        <v>1962354.0999999999</v>
      </c>
      <c r="L86" t="b">
        <v>1</v>
      </c>
      <c r="M86" s="7"/>
      <c r="N86" s="6"/>
      <c r="O86" s="6"/>
      <c r="P86" s="6"/>
      <c r="Q86" s="6"/>
      <c r="R86" s="6"/>
      <c r="S86" s="8">
        <v>0</v>
      </c>
      <c r="T86" s="9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G86" s="7">
        <v>0</v>
      </c>
    </row>
    <row r="87" spans="1:33" x14ac:dyDescent="0.3">
      <c r="A87" t="s">
        <v>169</v>
      </c>
      <c r="B87" s="1" t="s">
        <v>12</v>
      </c>
      <c r="C87" s="2">
        <v>6229750</v>
      </c>
      <c r="D87" s="2">
        <v>5626000</v>
      </c>
      <c r="E87" s="2">
        <v>4212340</v>
      </c>
      <c r="F87" s="2">
        <v>3981869</v>
      </c>
      <c r="G87" s="2">
        <v>5703250</v>
      </c>
      <c r="H87" s="2">
        <v>25753209</v>
      </c>
      <c r="I87" s="6">
        <v>0.91548617520767284</v>
      </c>
      <c r="J87" t="b">
        <v>1</v>
      </c>
      <c r="K87" s="2">
        <v>6833412.7750000004</v>
      </c>
      <c r="L87" t="b">
        <v>1</v>
      </c>
      <c r="M87" s="7" t="s">
        <v>12</v>
      </c>
      <c r="N87" s="6">
        <v>0.95</v>
      </c>
      <c r="O87" s="6">
        <v>0.95</v>
      </c>
      <c r="P87" s="6">
        <v>0.95</v>
      </c>
      <c r="Q87" s="6">
        <v>0.95</v>
      </c>
      <c r="R87" s="6">
        <v>0.95</v>
      </c>
      <c r="S87" s="8">
        <v>0.95</v>
      </c>
      <c r="T87" s="9">
        <v>0.95</v>
      </c>
      <c r="U87" t="s">
        <v>228</v>
      </c>
      <c r="V87" s="7">
        <v>755</v>
      </c>
      <c r="W87" s="7">
        <v>1121</v>
      </c>
      <c r="X87" s="7">
        <v>1892</v>
      </c>
      <c r="Y87" s="7">
        <v>1172</v>
      </c>
      <c r="Z87" s="7">
        <v>715</v>
      </c>
      <c r="AA87" s="7">
        <v>5655</v>
      </c>
      <c r="AG87" s="7">
        <v>0</v>
      </c>
    </row>
    <row r="88" spans="1:33" x14ac:dyDescent="0.3">
      <c r="A88" t="s">
        <v>170</v>
      </c>
      <c r="B88" s="1" t="s">
        <v>12</v>
      </c>
      <c r="C88" s="2">
        <v>16846700</v>
      </c>
      <c r="D88" s="2">
        <v>18133400</v>
      </c>
      <c r="E88" s="2">
        <v>22100230</v>
      </c>
      <c r="F88" s="2">
        <v>22230396</v>
      </c>
      <c r="G88" s="2">
        <v>20024000</v>
      </c>
      <c r="H88" s="2">
        <v>99334726</v>
      </c>
      <c r="I88" s="6">
        <v>1.1886007348620204</v>
      </c>
      <c r="J88" t="b">
        <v>0</v>
      </c>
      <c r="K88" s="2">
        <v>18479145.23</v>
      </c>
      <c r="L88" t="b">
        <v>0</v>
      </c>
      <c r="M88" s="7"/>
      <c r="N88" s="6"/>
      <c r="O88" s="6"/>
      <c r="P88" s="6"/>
      <c r="Q88" s="6"/>
      <c r="R88" s="6"/>
      <c r="S88" s="8">
        <v>0</v>
      </c>
      <c r="T88" s="9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G88" s="7">
        <v>0</v>
      </c>
    </row>
    <row r="89" spans="1:33" x14ac:dyDescent="0.3">
      <c r="A89" t="s">
        <v>172</v>
      </c>
      <c r="B89" s="1" t="s">
        <v>12</v>
      </c>
      <c r="C89" s="2">
        <v>6375000</v>
      </c>
      <c r="D89" s="2">
        <v>5437000</v>
      </c>
      <c r="E89" s="2">
        <v>6548000</v>
      </c>
      <c r="F89" s="2">
        <v>8422000</v>
      </c>
      <c r="G89" s="2">
        <v>13433000</v>
      </c>
      <c r="H89" s="2">
        <v>40215000</v>
      </c>
      <c r="I89" s="6">
        <v>2.1071372549019607</v>
      </c>
      <c r="J89" t="b">
        <v>0</v>
      </c>
      <c r="K89" s="2">
        <v>6992737.5</v>
      </c>
      <c r="L89" t="b">
        <v>0</v>
      </c>
      <c r="M89" s="7"/>
      <c r="N89" s="6"/>
      <c r="O89" s="6"/>
      <c r="P89" s="6"/>
      <c r="Q89" s="6"/>
      <c r="R89" s="6"/>
      <c r="S89" s="8">
        <v>0</v>
      </c>
      <c r="T89" s="9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G89" s="7">
        <v>0</v>
      </c>
    </row>
    <row r="90" spans="1:33" x14ac:dyDescent="0.3">
      <c r="A90" t="s">
        <v>174</v>
      </c>
      <c r="B90" s="1" t="s">
        <v>12</v>
      </c>
      <c r="C90" s="2">
        <v>5002200</v>
      </c>
      <c r="D90" s="2">
        <v>5280153</v>
      </c>
      <c r="E90" s="2">
        <v>5860640</v>
      </c>
      <c r="F90" s="2">
        <v>5183063</v>
      </c>
      <c r="G90" s="2">
        <v>7225890</v>
      </c>
      <c r="H90" s="2">
        <v>28551946</v>
      </c>
      <c r="I90" s="6">
        <v>1.4445424013434089</v>
      </c>
      <c r="J90" t="b">
        <v>0</v>
      </c>
      <c r="K90" s="2">
        <v>5486913.1799999997</v>
      </c>
      <c r="L90" t="b">
        <v>0</v>
      </c>
      <c r="M90" s="7"/>
      <c r="N90" s="6"/>
      <c r="O90" s="6"/>
      <c r="P90" s="6"/>
      <c r="Q90" s="6"/>
      <c r="R90" s="6"/>
      <c r="S90" s="8">
        <v>0</v>
      </c>
      <c r="T90" s="9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G90" s="7">
        <v>0</v>
      </c>
    </row>
    <row r="91" spans="1:33" x14ac:dyDescent="0.3">
      <c r="A91" t="s">
        <v>175</v>
      </c>
      <c r="B91" s="1" t="s">
        <v>12</v>
      </c>
      <c r="C91" s="28">
        <v>8345000</v>
      </c>
      <c r="D91" s="28">
        <v>15047200</v>
      </c>
      <c r="E91" s="28">
        <v>21021000</v>
      </c>
      <c r="F91" s="28">
        <v>11387000</v>
      </c>
      <c r="G91" s="28">
        <v>12175000</v>
      </c>
      <c r="H91" s="2">
        <v>67975200</v>
      </c>
      <c r="I91" s="6">
        <v>1.4589574595566208</v>
      </c>
      <c r="J91" t="b">
        <v>0</v>
      </c>
      <c r="K91" s="2">
        <v>9153630.5</v>
      </c>
      <c r="L91" t="b">
        <v>0</v>
      </c>
      <c r="M91" s="7" t="s">
        <v>12</v>
      </c>
      <c r="N91" s="6">
        <v>0.99034205231388328</v>
      </c>
      <c r="O91" s="6">
        <v>0.9851923076923077</v>
      </c>
      <c r="P91" s="6">
        <v>0.98516147803316845</v>
      </c>
      <c r="Q91" s="6">
        <v>0.98431105047748979</v>
      </c>
      <c r="R91">
        <v>0</v>
      </c>
      <c r="S91" s="8">
        <v>0.9862517221292123</v>
      </c>
      <c r="T91" s="9">
        <v>0.9862517221292123</v>
      </c>
      <c r="U91" t="s">
        <v>228</v>
      </c>
      <c r="V91" s="7">
        <v>4970</v>
      </c>
      <c r="W91" s="7">
        <v>5200</v>
      </c>
      <c r="X91" s="7">
        <v>3437</v>
      </c>
      <c r="Y91" s="7">
        <v>2932</v>
      </c>
      <c r="Z91" s="7">
        <v>2234</v>
      </c>
      <c r="AA91" s="7">
        <v>18773</v>
      </c>
      <c r="AB91">
        <v>4922</v>
      </c>
      <c r="AC91">
        <v>5123</v>
      </c>
      <c r="AD91">
        <v>3386</v>
      </c>
      <c r="AE91">
        <v>2886</v>
      </c>
      <c r="AG91" s="7">
        <v>16317</v>
      </c>
    </row>
    <row r="92" spans="1:33" x14ac:dyDescent="0.3">
      <c r="A92" t="s">
        <v>178</v>
      </c>
      <c r="B92" s="1" t="s">
        <v>12</v>
      </c>
      <c r="C92" s="2">
        <v>1411858</v>
      </c>
      <c r="D92" s="2">
        <v>1223591</v>
      </c>
      <c r="E92" s="2">
        <v>1079692</v>
      </c>
      <c r="F92" s="2">
        <v>910696</v>
      </c>
      <c r="G92" s="2">
        <v>932424</v>
      </c>
      <c r="H92" s="2">
        <v>5558261</v>
      </c>
      <c r="I92" s="6">
        <v>0.66042335702315669</v>
      </c>
      <c r="J92" t="b">
        <v>1</v>
      </c>
      <c r="K92" s="2">
        <v>1548667.0401999999</v>
      </c>
      <c r="L92" t="b">
        <v>1</v>
      </c>
      <c r="M92" s="7"/>
      <c r="N92" s="6"/>
      <c r="O92" s="6"/>
      <c r="P92" s="6"/>
      <c r="Q92" s="6"/>
      <c r="R92" s="6"/>
      <c r="S92" s="8">
        <v>0</v>
      </c>
      <c r="T92" s="9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G92" s="7">
        <v>0</v>
      </c>
    </row>
    <row r="93" spans="1:33" x14ac:dyDescent="0.3">
      <c r="A93" t="s">
        <v>179</v>
      </c>
      <c r="B93" s="1"/>
      <c r="C93" s="2"/>
      <c r="D93" s="2"/>
      <c r="E93" s="2"/>
      <c r="F93" s="2"/>
      <c r="G93" s="2"/>
      <c r="H93" s="2"/>
      <c r="I93" s="6"/>
      <c r="J93" t="b">
        <v>0</v>
      </c>
      <c r="K93" s="2">
        <v>0</v>
      </c>
      <c r="L93" t="b">
        <v>0</v>
      </c>
      <c r="M93" s="7" t="s">
        <v>12</v>
      </c>
      <c r="N93" s="6">
        <v>0.56457888791263966</v>
      </c>
      <c r="O93" s="6">
        <v>0.44348407676081703</v>
      </c>
      <c r="P93" s="6">
        <v>0.53246513346263968</v>
      </c>
      <c r="Q93" s="6">
        <v>0.47016939420040194</v>
      </c>
      <c r="R93" s="6">
        <v>0.47797529376318171</v>
      </c>
      <c r="S93" s="8">
        <v>0.49773455721993604</v>
      </c>
      <c r="T93" s="9">
        <v>0.49773455721993604</v>
      </c>
      <c r="U93" t="s">
        <v>235</v>
      </c>
      <c r="V93" s="7">
        <v>15934</v>
      </c>
      <c r="W93" s="7">
        <v>19437</v>
      </c>
      <c r="X93" s="7">
        <v>21654</v>
      </c>
      <c r="Y93" s="7">
        <v>17415</v>
      </c>
      <c r="Z93" s="7">
        <v>16595</v>
      </c>
      <c r="AA93" s="7">
        <v>91035</v>
      </c>
      <c r="AB93">
        <v>8996</v>
      </c>
      <c r="AC93">
        <v>8620</v>
      </c>
      <c r="AD93">
        <v>11530</v>
      </c>
      <c r="AE93">
        <v>8188</v>
      </c>
      <c r="AF93">
        <v>7932</v>
      </c>
      <c r="AG93" s="7">
        <v>45266</v>
      </c>
    </row>
    <row r="94" spans="1:33" x14ac:dyDescent="0.3">
      <c r="A94" t="s">
        <v>181</v>
      </c>
      <c r="B94" s="1" t="s">
        <v>12</v>
      </c>
      <c r="C94" s="2">
        <v>17708</v>
      </c>
      <c r="D94" s="2">
        <v>14305</v>
      </c>
      <c r="E94" s="2">
        <v>14796</v>
      </c>
      <c r="F94" s="2">
        <v>14193</v>
      </c>
      <c r="G94" s="2">
        <v>12851</v>
      </c>
      <c r="H94" s="2">
        <v>73853</v>
      </c>
      <c r="I94" s="6">
        <v>0.72571718997063472</v>
      </c>
      <c r="J94" t="b">
        <v>1</v>
      </c>
      <c r="K94" s="2">
        <v>19423.905200000001</v>
      </c>
      <c r="L94" t="b">
        <v>1</v>
      </c>
      <c r="M94" s="7"/>
      <c r="N94" s="6"/>
      <c r="O94" s="6"/>
      <c r="P94" s="6"/>
      <c r="Q94" s="6"/>
      <c r="R94" s="6"/>
      <c r="S94" s="8">
        <v>0</v>
      </c>
      <c r="T94" s="9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G94" s="7">
        <v>0</v>
      </c>
    </row>
    <row r="95" spans="1:33" x14ac:dyDescent="0.3">
      <c r="A95" t="s">
        <v>183</v>
      </c>
      <c r="B95" s="1" t="s">
        <v>12</v>
      </c>
      <c r="C95" s="2">
        <v>1160300</v>
      </c>
      <c r="D95" s="2">
        <v>1088700</v>
      </c>
      <c r="E95" s="2">
        <v>1216300</v>
      </c>
      <c r="F95" s="2">
        <v>1512200</v>
      </c>
      <c r="G95" s="2">
        <v>1360500</v>
      </c>
      <c r="H95" s="2">
        <v>6338000</v>
      </c>
      <c r="I95" s="6">
        <v>1.1725415840730846</v>
      </c>
      <c r="J95" t="b">
        <v>0</v>
      </c>
      <c r="K95" s="2">
        <v>1272733.07</v>
      </c>
      <c r="L95" t="b">
        <v>0</v>
      </c>
      <c r="M95" s="7"/>
      <c r="N95" s="6"/>
      <c r="O95" s="6"/>
      <c r="P95" s="6"/>
      <c r="Q95" s="6"/>
      <c r="R95" s="6"/>
      <c r="S95" s="8">
        <v>0</v>
      </c>
      <c r="T95" s="9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G95" s="7">
        <v>0</v>
      </c>
    </row>
    <row r="96" spans="1:33" x14ac:dyDescent="0.3">
      <c r="A96" t="s">
        <v>184</v>
      </c>
      <c r="B96" s="1" t="s">
        <v>12</v>
      </c>
      <c r="C96" s="2">
        <v>2975000</v>
      </c>
      <c r="D96" s="2">
        <v>4303000</v>
      </c>
      <c r="E96" s="2">
        <v>4050000</v>
      </c>
      <c r="F96" s="2">
        <v>4613000</v>
      </c>
      <c r="G96" s="2">
        <v>4876000</v>
      </c>
      <c r="H96" s="2">
        <v>20817000</v>
      </c>
      <c r="I96" s="6">
        <v>1.6389915966386555</v>
      </c>
      <c r="J96" t="b">
        <v>0</v>
      </c>
      <c r="K96" s="2">
        <v>3263277.5</v>
      </c>
      <c r="L96" t="b">
        <v>0</v>
      </c>
      <c r="M96" s="7" t="s">
        <v>12</v>
      </c>
      <c r="N96" s="6">
        <v>0.8417</v>
      </c>
      <c r="O96" s="6">
        <v>0.88939999999999997</v>
      </c>
      <c r="P96" s="6">
        <v>0.80579999999999996</v>
      </c>
      <c r="Q96" s="6">
        <v>0.9536</v>
      </c>
      <c r="R96" s="6">
        <v>0.98380000000000001</v>
      </c>
      <c r="S96" s="8">
        <v>0.89485999999999988</v>
      </c>
      <c r="T96" s="9">
        <v>0.89485999999999988</v>
      </c>
      <c r="U96" t="s">
        <v>271</v>
      </c>
      <c r="V96" s="7">
        <v>7128</v>
      </c>
      <c r="W96" s="7">
        <v>7342</v>
      </c>
      <c r="X96" s="7">
        <v>12332</v>
      </c>
      <c r="Y96" s="7">
        <v>10387</v>
      </c>
      <c r="Z96" s="29">
        <v>12321</v>
      </c>
      <c r="AA96" s="7">
        <v>49510</v>
      </c>
      <c r="AG96" s="7">
        <v>0</v>
      </c>
    </row>
    <row r="97" spans="1:33" x14ac:dyDescent="0.3">
      <c r="A97" t="s">
        <v>185</v>
      </c>
      <c r="B97" s="1" t="s">
        <v>12</v>
      </c>
      <c r="C97" s="2">
        <v>6501000</v>
      </c>
      <c r="D97" s="2">
        <v>6803000</v>
      </c>
      <c r="E97" s="2">
        <v>7079000</v>
      </c>
      <c r="F97" s="2">
        <v>7276000</v>
      </c>
      <c r="G97" s="2">
        <v>5505000</v>
      </c>
      <c r="H97" s="2">
        <v>33164000</v>
      </c>
      <c r="I97" s="6">
        <v>0.84679280110752186</v>
      </c>
      <c r="J97" t="b">
        <v>1</v>
      </c>
      <c r="K97" s="2">
        <v>7130946.9000000004</v>
      </c>
      <c r="L97" t="b">
        <v>1</v>
      </c>
      <c r="M97" s="7" t="s">
        <v>12</v>
      </c>
      <c r="N97" s="6"/>
      <c r="O97" s="6"/>
      <c r="P97" s="6">
        <v>0.97240000000000004</v>
      </c>
      <c r="Q97" s="6">
        <v>0.97740000000000005</v>
      </c>
      <c r="R97" s="6">
        <v>0.97860000000000003</v>
      </c>
      <c r="S97" s="8">
        <v>0.97613333333333341</v>
      </c>
      <c r="T97" s="9">
        <v>0.97613333333333341</v>
      </c>
      <c r="U97" t="s">
        <v>228</v>
      </c>
      <c r="V97" s="7">
        <v>5974</v>
      </c>
      <c r="W97" s="7">
        <v>7220</v>
      </c>
      <c r="X97" s="7">
        <v>10063</v>
      </c>
      <c r="Y97" s="7">
        <v>8332</v>
      </c>
      <c r="Z97" s="7">
        <v>5792</v>
      </c>
      <c r="AA97" s="7">
        <v>37381</v>
      </c>
      <c r="AG97" s="7">
        <v>0</v>
      </c>
    </row>
    <row r="98" spans="1:33" x14ac:dyDescent="0.3">
      <c r="A98" t="s">
        <v>186</v>
      </c>
      <c r="B98" s="1"/>
      <c r="C98" s="28"/>
      <c r="D98" s="28"/>
      <c r="E98" s="28"/>
      <c r="F98" s="28"/>
      <c r="G98" s="28"/>
      <c r="H98" s="2"/>
      <c r="I98" s="6"/>
      <c r="J98" t="b">
        <v>0</v>
      </c>
      <c r="K98" s="2">
        <v>0</v>
      </c>
      <c r="L98" t="b">
        <v>0</v>
      </c>
      <c r="M98" s="7"/>
      <c r="N98" s="6"/>
      <c r="O98" s="6"/>
      <c r="P98" s="6"/>
      <c r="Q98" s="6"/>
      <c r="R98" s="6"/>
      <c r="S98" s="8">
        <v>0</v>
      </c>
      <c r="T98" s="9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G98" s="7">
        <v>0</v>
      </c>
    </row>
    <row r="99" spans="1:33" x14ac:dyDescent="0.3">
      <c r="A99" t="s">
        <v>187</v>
      </c>
      <c r="B99" s="1" t="s">
        <v>12</v>
      </c>
      <c r="C99" s="2">
        <v>956748</v>
      </c>
      <c r="D99" s="2">
        <v>970134</v>
      </c>
      <c r="E99" s="2">
        <v>1010885</v>
      </c>
      <c r="F99" s="2">
        <v>1030600</v>
      </c>
      <c r="G99" s="2">
        <v>1048200</v>
      </c>
      <c r="H99" s="2">
        <v>5016567</v>
      </c>
      <c r="I99" s="6">
        <v>1.0955862985864617</v>
      </c>
      <c r="J99" t="b">
        <v>0</v>
      </c>
      <c r="K99" s="2">
        <v>1049456.8811999999</v>
      </c>
      <c r="L99" t="b">
        <v>1</v>
      </c>
      <c r="M99" s="7"/>
      <c r="N99" s="6"/>
      <c r="O99" s="6"/>
      <c r="P99" s="6"/>
      <c r="Q99" s="6"/>
      <c r="R99" s="6"/>
      <c r="S99" s="8">
        <v>0</v>
      </c>
      <c r="T99" s="9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G99" s="7">
        <v>0</v>
      </c>
    </row>
    <row r="100" spans="1:33" x14ac:dyDescent="0.3">
      <c r="A100" t="s">
        <v>189</v>
      </c>
      <c r="B100" s="1" t="s">
        <v>12</v>
      </c>
      <c r="C100" s="28">
        <v>2185600</v>
      </c>
      <c r="D100" s="28">
        <v>2293900</v>
      </c>
      <c r="E100" s="28">
        <v>2046000</v>
      </c>
      <c r="F100" s="28">
        <v>1824300</v>
      </c>
      <c r="G100" s="28">
        <v>1655800</v>
      </c>
      <c r="H100" s="2">
        <v>10005600</v>
      </c>
      <c r="I100" s="6">
        <v>0.757595168374817</v>
      </c>
      <c r="J100" t="b">
        <v>1</v>
      </c>
      <c r="K100" s="2">
        <v>2397384.64</v>
      </c>
      <c r="L100" t="b">
        <v>1</v>
      </c>
      <c r="M100" s="7" t="s">
        <v>12</v>
      </c>
      <c r="N100" s="6">
        <v>0.59814222628292979</v>
      </c>
      <c r="O100" s="6">
        <v>0.82760834670947026</v>
      </c>
      <c r="P100" s="6">
        <v>0.75837659273242097</v>
      </c>
      <c r="Q100" s="6">
        <v>0.75190258751902583</v>
      </c>
      <c r="R100" s="6">
        <v>0.57631482162559766</v>
      </c>
      <c r="S100" s="8">
        <v>0.70246891497388886</v>
      </c>
      <c r="T100" s="9">
        <v>0.70246891497388886</v>
      </c>
      <c r="U100" t="s">
        <v>235</v>
      </c>
      <c r="V100" s="7">
        <v>6567</v>
      </c>
      <c r="W100" s="7">
        <v>6230</v>
      </c>
      <c r="X100" s="7">
        <v>6357</v>
      </c>
      <c r="Y100" s="7">
        <v>5256</v>
      </c>
      <c r="Z100" s="7">
        <v>5438</v>
      </c>
      <c r="AA100" s="7">
        <v>29848</v>
      </c>
      <c r="AB100">
        <v>3928</v>
      </c>
      <c r="AC100">
        <v>5156</v>
      </c>
      <c r="AD100">
        <v>4821</v>
      </c>
      <c r="AE100">
        <v>3952</v>
      </c>
      <c r="AF100">
        <v>3134</v>
      </c>
      <c r="AG100" s="7">
        <v>20991</v>
      </c>
    </row>
    <row r="101" spans="1:33" x14ac:dyDescent="0.3">
      <c r="A101" t="s">
        <v>190</v>
      </c>
      <c r="B101" s="1" t="s">
        <v>12</v>
      </c>
      <c r="C101" s="2">
        <v>960000</v>
      </c>
      <c r="D101" s="2">
        <v>857000</v>
      </c>
      <c r="E101" s="2">
        <v>1000000</v>
      </c>
      <c r="F101" s="2">
        <v>1273000</v>
      </c>
      <c r="G101" s="2">
        <v>2000000</v>
      </c>
      <c r="H101" s="2">
        <v>6090000</v>
      </c>
      <c r="I101" s="6">
        <v>2.0833333333333335</v>
      </c>
      <c r="J101" t="b">
        <v>0</v>
      </c>
      <c r="K101" s="2">
        <v>1053024</v>
      </c>
      <c r="L101" t="b">
        <v>0</v>
      </c>
      <c r="M101" s="7"/>
      <c r="N101" s="6"/>
      <c r="O101" s="6"/>
      <c r="P101" s="6"/>
      <c r="Q101" s="6"/>
      <c r="R101" s="6"/>
      <c r="S101" s="8">
        <v>0</v>
      </c>
      <c r="T101" s="9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G101" s="7">
        <v>0</v>
      </c>
    </row>
    <row r="102" spans="1:33" x14ac:dyDescent="0.3">
      <c r="A102" t="s">
        <v>191</v>
      </c>
      <c r="B102" s="1" t="s">
        <v>12</v>
      </c>
      <c r="C102" s="2">
        <v>4934837</v>
      </c>
      <c r="D102" s="2">
        <v>3986977</v>
      </c>
      <c r="E102" s="2">
        <v>6145755</v>
      </c>
      <c r="F102" s="2">
        <v>7003962</v>
      </c>
      <c r="G102" s="2">
        <v>6590096</v>
      </c>
      <c r="H102" s="2">
        <v>28661627</v>
      </c>
      <c r="I102" s="6">
        <v>1.3354232368769221</v>
      </c>
      <c r="J102" t="b">
        <v>0</v>
      </c>
      <c r="K102" s="2">
        <v>5413022.7052999996</v>
      </c>
      <c r="L102" t="b">
        <v>0</v>
      </c>
      <c r="M102" s="7" t="s">
        <v>12</v>
      </c>
      <c r="N102" s="6">
        <v>0.81789999999999996</v>
      </c>
      <c r="O102" s="6">
        <v>0.57389999999999997</v>
      </c>
      <c r="P102" s="6">
        <v>0.3921</v>
      </c>
      <c r="Q102" s="6">
        <v>0.97599999999999998</v>
      </c>
      <c r="R102" s="6">
        <v>0.88280000000000003</v>
      </c>
      <c r="S102" s="8">
        <v>0.72853999999999997</v>
      </c>
      <c r="T102" s="9">
        <v>0.72853999999999997</v>
      </c>
      <c r="U102" t="s">
        <v>235</v>
      </c>
      <c r="V102" s="7">
        <v>4437</v>
      </c>
      <c r="W102" s="7">
        <v>2858</v>
      </c>
      <c r="X102" s="7">
        <v>4510</v>
      </c>
      <c r="Y102" s="7">
        <v>923</v>
      </c>
      <c r="Z102" s="7">
        <v>4377</v>
      </c>
      <c r="AA102" s="7">
        <v>17105</v>
      </c>
      <c r="AG102" s="7">
        <v>0</v>
      </c>
    </row>
    <row r="103" spans="1:33" x14ac:dyDescent="0.3">
      <c r="A103" t="s">
        <v>193</v>
      </c>
      <c r="B103" s="1" t="s">
        <v>12</v>
      </c>
      <c r="C103" s="28">
        <v>1632000</v>
      </c>
      <c r="D103" s="28">
        <v>1259400</v>
      </c>
      <c r="E103" s="28">
        <v>1169300</v>
      </c>
      <c r="F103" s="28">
        <v>1132400</v>
      </c>
      <c r="G103" s="28">
        <v>1176100</v>
      </c>
      <c r="H103" s="2">
        <v>6369200</v>
      </c>
      <c r="I103" s="6">
        <v>0.72064950980392162</v>
      </c>
      <c r="J103" t="b">
        <v>1</v>
      </c>
      <c r="K103" s="2">
        <v>1790140.8</v>
      </c>
      <c r="L103" t="b">
        <v>1</v>
      </c>
      <c r="M103" s="7" t="s">
        <v>12</v>
      </c>
      <c r="N103" s="6">
        <v>0.81508704061895554</v>
      </c>
      <c r="O103" s="6">
        <v>0.71093981618737034</v>
      </c>
      <c r="P103" s="6">
        <v>0.74647435897435899</v>
      </c>
      <c r="Q103" s="6">
        <v>0.70859461453338246</v>
      </c>
      <c r="R103" s="6">
        <v>0.48649754500818332</v>
      </c>
      <c r="S103" s="8">
        <v>0.6935186750644502</v>
      </c>
      <c r="T103" s="9">
        <v>0.6935186750644502</v>
      </c>
      <c r="U103" t="s">
        <v>235</v>
      </c>
      <c r="V103" s="7">
        <v>2585</v>
      </c>
      <c r="W103" s="7">
        <v>3373</v>
      </c>
      <c r="X103" s="7">
        <v>3120</v>
      </c>
      <c r="Y103" s="7">
        <v>2711</v>
      </c>
      <c r="Z103" s="7">
        <v>2444</v>
      </c>
      <c r="AA103" s="7">
        <v>14233</v>
      </c>
      <c r="AB103">
        <v>2107</v>
      </c>
      <c r="AC103">
        <v>2398</v>
      </c>
      <c r="AD103">
        <v>2329</v>
      </c>
      <c r="AE103">
        <v>1921</v>
      </c>
      <c r="AF103">
        <v>1189</v>
      </c>
      <c r="AG103" s="7">
        <v>9944</v>
      </c>
    </row>
    <row r="104" spans="1:33" x14ac:dyDescent="0.3">
      <c r="A104" t="s">
        <v>196</v>
      </c>
      <c r="B104" s="1" t="s">
        <v>12</v>
      </c>
      <c r="C104" s="2">
        <v>1268000</v>
      </c>
      <c r="D104" s="2">
        <v>1302000</v>
      </c>
      <c r="E104" s="2">
        <v>1360000</v>
      </c>
      <c r="F104" s="2">
        <v>1411000</v>
      </c>
      <c r="G104" s="2">
        <v>1463000</v>
      </c>
      <c r="H104" s="2">
        <v>6804000</v>
      </c>
      <c r="I104" s="6">
        <v>1.1537854889589905</v>
      </c>
      <c r="J104" t="b">
        <v>0</v>
      </c>
      <c r="K104" s="2">
        <v>1390869.2</v>
      </c>
      <c r="L104" t="b">
        <v>0</v>
      </c>
      <c r="M104" s="7" t="s">
        <v>12</v>
      </c>
      <c r="N104" s="6">
        <v>0.94930000000000003</v>
      </c>
      <c r="O104" s="6">
        <v>0.95189999999999997</v>
      </c>
      <c r="P104" s="6">
        <v>0.87090000000000001</v>
      </c>
      <c r="Q104" s="6">
        <v>0.98909999999999998</v>
      </c>
      <c r="R104" s="6">
        <v>0.96630000000000005</v>
      </c>
      <c r="S104" s="8">
        <v>0.94550000000000001</v>
      </c>
      <c r="T104" s="9">
        <v>0.94550000000000001</v>
      </c>
      <c r="U104" t="s">
        <v>228</v>
      </c>
      <c r="V104" s="7">
        <v>7654</v>
      </c>
      <c r="W104" s="7">
        <v>8238</v>
      </c>
      <c r="X104" s="7">
        <v>6778</v>
      </c>
      <c r="Y104" s="7">
        <v>6507</v>
      </c>
      <c r="Z104" s="7">
        <v>5909</v>
      </c>
      <c r="AA104" s="7">
        <v>35086</v>
      </c>
      <c r="AG104" s="7">
        <v>0</v>
      </c>
    </row>
    <row r="105" spans="1:33" x14ac:dyDescent="0.3">
      <c r="A105" t="s">
        <v>199</v>
      </c>
      <c r="B105" s="1" t="s">
        <v>12</v>
      </c>
      <c r="C105" s="2">
        <v>5970000</v>
      </c>
      <c r="D105" s="2">
        <v>4420000</v>
      </c>
      <c r="E105" s="2">
        <v>5264000</v>
      </c>
      <c r="F105" s="2">
        <v>7962000</v>
      </c>
      <c r="G105" s="2">
        <v>8353000</v>
      </c>
      <c r="H105" s="2">
        <v>31969000</v>
      </c>
      <c r="I105" s="6">
        <v>1.3991624790619765</v>
      </c>
      <c r="J105" t="b">
        <v>0</v>
      </c>
      <c r="K105" s="2">
        <v>6548493</v>
      </c>
      <c r="L105" t="b">
        <v>0</v>
      </c>
      <c r="M105" s="7" t="s">
        <v>12</v>
      </c>
      <c r="N105" s="6">
        <v>0.87223321936296561</v>
      </c>
      <c r="O105" s="6">
        <v>0.86001653348029761</v>
      </c>
      <c r="P105" s="6">
        <v>0.83240740740740737</v>
      </c>
      <c r="Q105" s="6">
        <v>0.86643925478876938</v>
      </c>
      <c r="R105" s="6">
        <v>0.95045376502330148</v>
      </c>
      <c r="S105" s="8">
        <v>0.87631003601254831</v>
      </c>
      <c r="T105" s="9">
        <v>0.87631003601254831</v>
      </c>
      <c r="U105" t="s">
        <v>271</v>
      </c>
      <c r="V105" s="7">
        <v>5557</v>
      </c>
      <c r="W105" s="7">
        <v>3629</v>
      </c>
      <c r="X105" s="7">
        <v>6480</v>
      </c>
      <c r="Y105" s="7">
        <v>3811</v>
      </c>
      <c r="Z105" s="7">
        <v>4077</v>
      </c>
      <c r="AA105" s="7">
        <v>23554</v>
      </c>
      <c r="AB105">
        <v>4847</v>
      </c>
      <c r="AC105">
        <v>3121</v>
      </c>
      <c r="AD105">
        <v>5394</v>
      </c>
      <c r="AE105">
        <v>3302</v>
      </c>
      <c r="AF105">
        <v>3875</v>
      </c>
      <c r="AG105" s="7">
        <v>20539</v>
      </c>
    </row>
    <row r="106" spans="1:33" x14ac:dyDescent="0.3">
      <c r="A106" t="s">
        <v>201</v>
      </c>
      <c r="B106" s="1"/>
      <c r="I106" s="6"/>
      <c r="J106" t="b">
        <v>0</v>
      </c>
      <c r="K106" s="2">
        <v>0</v>
      </c>
      <c r="L106" t="b">
        <v>0</v>
      </c>
      <c r="M106" s="7" t="s">
        <v>12</v>
      </c>
      <c r="S106" s="8">
        <v>0.91749999999999998</v>
      </c>
      <c r="T106" s="9">
        <v>0.91749999999999998</v>
      </c>
      <c r="U106" t="s">
        <v>228</v>
      </c>
      <c r="V106" s="7">
        <v>1287</v>
      </c>
      <c r="W106" s="7">
        <v>1340</v>
      </c>
      <c r="X106" s="7">
        <v>1821</v>
      </c>
      <c r="Y106" s="7">
        <v>1168</v>
      </c>
      <c r="Z106" s="7">
        <v>1240</v>
      </c>
      <c r="AA106" s="7">
        <v>6856</v>
      </c>
      <c r="AG106" s="7">
        <v>0</v>
      </c>
    </row>
    <row r="107" spans="1:33" x14ac:dyDescent="0.3">
      <c r="A107" s="29" t="s">
        <v>202</v>
      </c>
      <c r="B107" s="27"/>
      <c r="C107" s="29"/>
      <c r="D107" s="29"/>
      <c r="E107" s="29"/>
      <c r="F107" s="29"/>
      <c r="G107" s="29"/>
      <c r="H107" s="29"/>
      <c r="I107" s="10"/>
      <c r="J107" s="29" t="b">
        <v>0</v>
      </c>
      <c r="K107" s="28">
        <v>0</v>
      </c>
      <c r="L107" s="29" t="b">
        <v>0</v>
      </c>
      <c r="M107" s="7"/>
      <c r="N107" s="10"/>
      <c r="O107" s="10"/>
      <c r="P107" s="10"/>
      <c r="Q107" s="10"/>
      <c r="R107" s="10"/>
      <c r="S107" s="8">
        <v>0</v>
      </c>
      <c r="T107" s="35">
        <v>0</v>
      </c>
      <c r="U107" s="29"/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29"/>
      <c r="AC107" s="29"/>
      <c r="AD107" s="29"/>
      <c r="AE107" s="29"/>
      <c r="AF107" s="29"/>
      <c r="AG107" s="7">
        <v>0</v>
      </c>
    </row>
    <row r="108" spans="1:33" x14ac:dyDescent="0.3">
      <c r="A108" t="s">
        <v>203</v>
      </c>
      <c r="B108" s="1"/>
      <c r="I108" s="6"/>
      <c r="J108" t="b">
        <v>0</v>
      </c>
      <c r="K108" s="2">
        <v>0</v>
      </c>
      <c r="L108" t="b">
        <v>0</v>
      </c>
      <c r="M108" s="7" t="s">
        <v>12</v>
      </c>
      <c r="N108" s="6">
        <v>0.86116758640720303</v>
      </c>
      <c r="O108" s="6">
        <v>0.94474935967800955</v>
      </c>
      <c r="P108" s="6">
        <v>0.8922528940338379</v>
      </c>
      <c r="Q108" s="6">
        <v>0.9763087504776462</v>
      </c>
      <c r="R108" s="6">
        <v>0.94369287020109693</v>
      </c>
      <c r="S108" s="8">
        <v>0.92363429215955861</v>
      </c>
      <c r="T108" s="9">
        <v>0.92363429215955861</v>
      </c>
      <c r="U108" t="s">
        <v>228</v>
      </c>
      <c r="V108" s="7">
        <v>3443</v>
      </c>
      <c r="W108" s="7">
        <v>2733</v>
      </c>
      <c r="X108" s="7">
        <v>3369</v>
      </c>
      <c r="Y108" s="7">
        <v>2617</v>
      </c>
      <c r="Z108" s="7">
        <v>2735</v>
      </c>
      <c r="AA108" s="7">
        <v>14897</v>
      </c>
      <c r="AB108">
        <v>2965</v>
      </c>
      <c r="AC108">
        <v>2582</v>
      </c>
      <c r="AD108">
        <v>3006</v>
      </c>
      <c r="AE108">
        <v>2555</v>
      </c>
      <c r="AF108">
        <v>2581</v>
      </c>
      <c r="AG108" s="7">
        <v>13689</v>
      </c>
    </row>
    <row r="109" spans="1:33" x14ac:dyDescent="0.3">
      <c r="A109" t="s">
        <v>204</v>
      </c>
      <c r="B109" s="1"/>
      <c r="I109" s="6"/>
      <c r="J109" t="b">
        <v>0</v>
      </c>
      <c r="K109" s="2">
        <v>0</v>
      </c>
      <c r="L109" t="b">
        <v>0</v>
      </c>
      <c r="M109" s="7" t="s">
        <v>12</v>
      </c>
      <c r="N109" s="6">
        <v>0.4869</v>
      </c>
      <c r="O109" s="6">
        <v>0.54520000000000002</v>
      </c>
      <c r="P109" s="6">
        <v>0.60599999999999998</v>
      </c>
      <c r="Q109" s="6">
        <v>0.90349999999999997</v>
      </c>
      <c r="R109" s="6">
        <v>0.78320000000000001</v>
      </c>
      <c r="S109" s="8">
        <v>0.66496</v>
      </c>
      <c r="T109" s="9">
        <v>0.66496</v>
      </c>
      <c r="U109" t="s">
        <v>235</v>
      </c>
      <c r="V109" s="7">
        <v>6148</v>
      </c>
      <c r="W109" s="7">
        <v>12352</v>
      </c>
      <c r="X109" s="7">
        <v>20230</v>
      </c>
      <c r="Y109" s="7">
        <v>14520</v>
      </c>
      <c r="Z109" s="29">
        <v>14264</v>
      </c>
      <c r="AA109" s="7">
        <v>67514</v>
      </c>
      <c r="AG109" s="7">
        <v>0</v>
      </c>
    </row>
    <row r="110" spans="1:33" x14ac:dyDescent="0.3">
      <c r="A110" t="s">
        <v>205</v>
      </c>
      <c r="B110" s="1"/>
      <c r="C110" s="29"/>
      <c r="D110" s="29"/>
      <c r="E110" s="29"/>
      <c r="F110" s="29"/>
      <c r="G110" s="29"/>
      <c r="I110" s="6"/>
      <c r="J110" t="b">
        <v>0</v>
      </c>
      <c r="K110" s="2">
        <v>0</v>
      </c>
      <c r="L110" t="b">
        <v>0</v>
      </c>
      <c r="M110" s="7" t="s">
        <v>12</v>
      </c>
      <c r="N110" s="6">
        <v>0.95599999999999996</v>
      </c>
      <c r="O110" s="6">
        <v>0.875</v>
      </c>
      <c r="P110" s="6">
        <v>0.996</v>
      </c>
      <c r="Q110" s="6">
        <v>0.88200000000000001</v>
      </c>
      <c r="R110" s="6">
        <v>0.98399999999999999</v>
      </c>
      <c r="S110" s="8">
        <v>0.93859999999999988</v>
      </c>
      <c r="T110" s="9">
        <v>0.93859999999999988</v>
      </c>
      <c r="U110" t="s">
        <v>228</v>
      </c>
      <c r="V110" s="7">
        <v>2433</v>
      </c>
      <c r="W110" s="7">
        <v>2175</v>
      </c>
      <c r="X110" s="7">
        <v>3149</v>
      </c>
      <c r="Y110" s="7">
        <v>1875</v>
      </c>
      <c r="Z110" s="7">
        <v>0</v>
      </c>
      <c r="AA110" s="7">
        <v>9632</v>
      </c>
      <c r="AG110" s="7">
        <v>0</v>
      </c>
    </row>
    <row r="111" spans="1:33" x14ac:dyDescent="0.3">
      <c r="A111" t="s">
        <v>209</v>
      </c>
      <c r="B111" s="1" t="s">
        <v>12</v>
      </c>
      <c r="C111" s="28">
        <v>9528719</v>
      </c>
      <c r="D111" s="28">
        <v>14260346</v>
      </c>
      <c r="E111" s="28">
        <v>12217500</v>
      </c>
      <c r="F111" s="28">
        <v>9310400</v>
      </c>
      <c r="G111" s="28">
        <v>10096400</v>
      </c>
      <c r="H111" s="2">
        <v>55413365</v>
      </c>
      <c r="I111" s="6">
        <v>1.0595757939760844</v>
      </c>
      <c r="J111" t="b">
        <v>0</v>
      </c>
      <c r="K111" s="2">
        <v>10452051.871099999</v>
      </c>
      <c r="L111" t="b">
        <v>1</v>
      </c>
      <c r="M111" s="7" t="s">
        <v>12</v>
      </c>
      <c r="N111" s="6">
        <v>0.83383297644539611</v>
      </c>
      <c r="O111" s="6">
        <v>0.90778368240075025</v>
      </c>
      <c r="P111" s="6">
        <v>0.96271826333176025</v>
      </c>
      <c r="Q111" s="6">
        <v>0.90803188228080933</v>
      </c>
      <c r="R111" s="6">
        <v>0.99721448467966578</v>
      </c>
      <c r="S111" s="8">
        <v>0.92191625782767628</v>
      </c>
      <c r="T111" s="9">
        <v>0.92191625782767628</v>
      </c>
      <c r="U111" t="s">
        <v>228</v>
      </c>
      <c r="V111" s="7">
        <v>819</v>
      </c>
      <c r="W111" s="7">
        <v>903</v>
      </c>
      <c r="X111" s="7">
        <v>1171</v>
      </c>
      <c r="Y111" s="7">
        <v>1135</v>
      </c>
      <c r="Z111" s="7">
        <v>1540</v>
      </c>
      <c r="AA111" s="7">
        <v>5568</v>
      </c>
      <c r="AG111" s="7">
        <v>0</v>
      </c>
    </row>
    <row r="112" spans="1:33" x14ac:dyDescent="0.3">
      <c r="A112" t="s">
        <v>210</v>
      </c>
      <c r="B112" s="1" t="s">
        <v>12</v>
      </c>
      <c r="C112" s="2">
        <v>1092552</v>
      </c>
      <c r="D112" s="2">
        <v>811866</v>
      </c>
      <c r="E112" s="2">
        <v>727676</v>
      </c>
      <c r="F112" s="2">
        <v>727676</v>
      </c>
      <c r="G112" s="2">
        <v>727676</v>
      </c>
      <c r="H112" s="2">
        <v>4087446</v>
      </c>
      <c r="I112" s="6">
        <v>0.66603328720280586</v>
      </c>
      <c r="J112" t="b">
        <v>1</v>
      </c>
      <c r="K112" s="2">
        <v>1198420.2888</v>
      </c>
      <c r="L112" t="b">
        <v>1</v>
      </c>
      <c r="M112" s="7"/>
      <c r="N112" s="6"/>
      <c r="O112" s="6"/>
      <c r="P112" s="6"/>
      <c r="Q112" s="6"/>
      <c r="R112" s="6"/>
      <c r="S112" s="10"/>
      <c r="T112" s="9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G112" s="7">
        <v>0</v>
      </c>
    </row>
    <row r="113" spans="1:33" x14ac:dyDescent="0.3">
      <c r="A113" t="s">
        <v>211</v>
      </c>
      <c r="B113" s="1" t="s">
        <v>12</v>
      </c>
      <c r="C113" s="38">
        <v>27266350.170000002</v>
      </c>
      <c r="D113" s="38">
        <v>19713254</v>
      </c>
      <c r="E113" s="38">
        <v>17640943.850000001</v>
      </c>
      <c r="F113" s="38">
        <v>20328866.559999999</v>
      </c>
      <c r="G113" s="38">
        <v>25147644.77</v>
      </c>
      <c r="H113" s="2">
        <v>110097059.34999999</v>
      </c>
      <c r="I113" s="6">
        <v>0.92229596602441044</v>
      </c>
      <c r="J113" t="b">
        <v>1</v>
      </c>
      <c r="K113" s="2">
        <v>29908459.501473002</v>
      </c>
      <c r="L113" t="b">
        <v>1</v>
      </c>
      <c r="M113" s="7"/>
      <c r="S113" s="7"/>
      <c r="T113" s="9">
        <v>0</v>
      </c>
      <c r="V113" s="7"/>
      <c r="W113" s="7"/>
      <c r="X113" s="7"/>
      <c r="Y113" s="7"/>
      <c r="Z113" s="7"/>
      <c r="AA113" s="7"/>
      <c r="AG113" s="7"/>
    </row>
    <row r="114" spans="1:33" x14ac:dyDescent="0.3">
      <c r="A114" s="29" t="s">
        <v>213</v>
      </c>
      <c r="B114" s="27"/>
      <c r="I114" s="10"/>
      <c r="J114" s="29" t="b">
        <v>0</v>
      </c>
      <c r="K114" s="28">
        <v>0</v>
      </c>
      <c r="L114" s="29" t="b">
        <v>0</v>
      </c>
      <c r="M114" s="7" t="s">
        <v>12</v>
      </c>
      <c r="N114" s="10"/>
      <c r="O114" s="10"/>
      <c r="P114" s="10"/>
      <c r="Q114" s="10"/>
      <c r="R114" s="10"/>
      <c r="S114" s="8">
        <v>0.85</v>
      </c>
      <c r="T114" s="35">
        <v>0.85</v>
      </c>
      <c r="U114" s="29" t="s">
        <v>271</v>
      </c>
      <c r="V114" s="7">
        <v>247</v>
      </c>
      <c r="W114" s="7">
        <v>210</v>
      </c>
      <c r="X114" s="7">
        <v>144</v>
      </c>
      <c r="Y114" s="7">
        <v>371</v>
      </c>
      <c r="Z114" s="7"/>
      <c r="AA114" s="7">
        <v>972</v>
      </c>
      <c r="AB114" s="29"/>
      <c r="AC114" s="29"/>
      <c r="AD114" s="29"/>
      <c r="AE114" s="29"/>
      <c r="AF114" s="29"/>
      <c r="AG114" s="7">
        <v>0</v>
      </c>
    </row>
    <row r="115" spans="1:33" x14ac:dyDescent="0.3">
      <c r="A115" t="s">
        <v>216</v>
      </c>
      <c r="B115" s="27" t="s">
        <v>12</v>
      </c>
      <c r="C115" s="28">
        <v>29983000</v>
      </c>
      <c r="D115" s="28">
        <v>28809000</v>
      </c>
      <c r="E115" s="28">
        <v>18575000</v>
      </c>
      <c r="F115" s="28">
        <v>20379000</v>
      </c>
      <c r="G115" s="28">
        <v>27341000</v>
      </c>
      <c r="H115" s="28">
        <v>125087000</v>
      </c>
      <c r="I115" s="6">
        <v>0.91188340059366979</v>
      </c>
      <c r="J115" s="29" t="b">
        <v>1</v>
      </c>
      <c r="K115" s="2">
        <v>32888352.699999999</v>
      </c>
      <c r="L115" t="b">
        <v>1</v>
      </c>
      <c r="M115" s="7"/>
      <c r="N115" s="6"/>
      <c r="O115" s="6"/>
      <c r="P115" s="6"/>
      <c r="Q115" s="6"/>
      <c r="R115" s="6"/>
      <c r="S115" s="10"/>
      <c r="T115" s="9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G115" s="7">
        <v>0</v>
      </c>
    </row>
    <row r="116" spans="1:33" ht="15" thickBot="1" x14ac:dyDescent="0.35">
      <c r="A116" s="40" t="s">
        <v>218</v>
      </c>
      <c r="B116" s="40" t="s">
        <v>12</v>
      </c>
      <c r="C116" s="41">
        <v>909000</v>
      </c>
      <c r="D116" s="41">
        <v>796000</v>
      </c>
      <c r="E116" s="41">
        <v>766000</v>
      </c>
      <c r="F116" s="41">
        <v>835000</v>
      </c>
      <c r="G116" s="41">
        <v>802000</v>
      </c>
      <c r="H116" s="41">
        <v>4108000</v>
      </c>
      <c r="I116" s="42">
        <v>0.88228822882288227</v>
      </c>
      <c r="J116" s="40" t="b">
        <v>1</v>
      </c>
      <c r="K116" s="41">
        <v>997082.1</v>
      </c>
      <c r="L116" s="40" t="b">
        <v>1</v>
      </c>
      <c r="M116" s="43" t="s">
        <v>12</v>
      </c>
      <c r="N116" s="42">
        <v>0.85276073619631898</v>
      </c>
      <c r="O116" s="42">
        <v>0.45198675496688739</v>
      </c>
      <c r="P116" s="42">
        <v>0.44140905823148813</v>
      </c>
      <c r="Q116" s="42">
        <v>0.47430968192939532</v>
      </c>
      <c r="R116" s="42">
        <v>0.69167291822955734</v>
      </c>
      <c r="S116" s="44">
        <v>0.58242782991072939</v>
      </c>
      <c r="T116" s="45">
        <v>0.58242782991072939</v>
      </c>
      <c r="U116" s="40" t="s">
        <v>235</v>
      </c>
      <c r="V116" s="43">
        <v>326</v>
      </c>
      <c r="W116" s="43">
        <v>2416</v>
      </c>
      <c r="X116" s="43">
        <v>2782</v>
      </c>
      <c r="Y116" s="43">
        <v>2861</v>
      </c>
      <c r="Z116" s="43">
        <v>2666</v>
      </c>
      <c r="AA116" s="43">
        <v>11051</v>
      </c>
      <c r="AB116" s="40">
        <v>278</v>
      </c>
      <c r="AC116" s="40">
        <v>1092</v>
      </c>
      <c r="AD116" s="40">
        <v>1228</v>
      </c>
      <c r="AE116" s="40">
        <v>1357</v>
      </c>
      <c r="AF116" s="40">
        <v>1844</v>
      </c>
      <c r="AG116" s="43">
        <v>5799</v>
      </c>
    </row>
    <row r="117" spans="1:33" x14ac:dyDescent="0.3">
      <c r="A117" s="29"/>
      <c r="B117" s="29"/>
      <c r="C117" s="28"/>
      <c r="D117" s="28"/>
      <c r="E117" s="28"/>
      <c r="F117" s="28"/>
      <c r="G117" s="28"/>
      <c r="H117" s="28"/>
      <c r="I117" s="10"/>
      <c r="J117" s="29"/>
      <c r="K117" s="28"/>
      <c r="L117" s="29"/>
      <c r="M117" s="29"/>
      <c r="N117" s="10"/>
      <c r="O117" s="10"/>
      <c r="P117" s="10"/>
      <c r="Q117" s="10"/>
      <c r="R117" s="10"/>
      <c r="S117" s="10"/>
      <c r="T117" s="35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pans="1:33" x14ac:dyDescent="0.3">
      <c r="A118" s="36" t="s">
        <v>219</v>
      </c>
      <c r="B118" s="1">
        <f>COUNTIF(B1:B116,"Yes")</f>
        <v>81</v>
      </c>
      <c r="C118" s="2">
        <f>SUM(C1:C116)</f>
        <v>721007062.61000001</v>
      </c>
      <c r="D118" s="2">
        <f t="shared" ref="D118:H118" si="0">SUM(D1:D116)</f>
        <v>750084844.17000008</v>
      </c>
      <c r="E118" s="2">
        <f t="shared" si="0"/>
        <v>854848552.04000008</v>
      </c>
      <c r="F118" s="2">
        <f t="shared" si="0"/>
        <v>694866980.79999995</v>
      </c>
      <c r="G118" s="2">
        <f t="shared" si="0"/>
        <v>834872163.76999998</v>
      </c>
      <c r="H118" s="2">
        <f t="shared" si="0"/>
        <v>3855679603.3899999</v>
      </c>
      <c r="I118" s="2"/>
      <c r="J118">
        <f>COUNTIF(J1:J116, TRUE)</f>
        <v>34</v>
      </c>
      <c r="K118" s="2">
        <f>C118*1.0969</f>
        <v>790872646.97690904</v>
      </c>
      <c r="L118">
        <f>COUNTIF(L1:L116, TRUE)</f>
        <v>43</v>
      </c>
      <c r="M118" s="29">
        <f>COUNTIF(M1:M116,"Yes")</f>
        <v>59</v>
      </c>
      <c r="O118" s="35"/>
      <c r="P118" s="35"/>
      <c r="Q118" s="35"/>
      <c r="S118" s="29"/>
      <c r="V118" s="29"/>
      <c r="W118" s="29"/>
      <c r="X118" s="29"/>
      <c r="Y118" s="29"/>
      <c r="Z118" s="29"/>
      <c r="AA118" s="29"/>
      <c r="AG118" s="29"/>
    </row>
    <row r="119" spans="1:33" ht="43.2" x14ac:dyDescent="0.3">
      <c r="A119" s="29"/>
      <c r="B119" s="27" t="s">
        <v>276</v>
      </c>
      <c r="C119" s="28">
        <f>C118</f>
        <v>721007062.61000001</v>
      </c>
      <c r="D119" s="10">
        <f>D118/C119</f>
        <v>1.0403293990696019</v>
      </c>
      <c r="E119" s="10">
        <f>E118/C119</f>
        <v>1.1856313153792175</v>
      </c>
      <c r="F119" s="10">
        <f>F118/C119</f>
        <v>0.96374504056121912</v>
      </c>
      <c r="G119" s="10">
        <f>G118/C119</f>
        <v>1.1579250843227742</v>
      </c>
      <c r="H119" s="28"/>
      <c r="I119" s="10"/>
      <c r="J119" s="10">
        <f>J118/B118</f>
        <v>0.41975308641975306</v>
      </c>
      <c r="K119" s="29"/>
      <c r="L119" s="10">
        <f>L118/B118</f>
        <v>0.53086419753086422</v>
      </c>
      <c r="M119" s="29"/>
      <c r="N119" s="29"/>
      <c r="O119" s="29"/>
      <c r="P119" s="29"/>
      <c r="Q119" s="29"/>
      <c r="R119" s="29"/>
      <c r="S119" s="10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</row>
    <row r="120" spans="1:33" ht="86.4" x14ac:dyDescent="0.3">
      <c r="A120" s="29"/>
      <c r="B120" s="27" t="s">
        <v>277</v>
      </c>
      <c r="C120" s="61">
        <f>C119</f>
        <v>721007062.61000001</v>
      </c>
      <c r="D120" s="62">
        <f>C119*1.0234</f>
        <v>737878627.87507403</v>
      </c>
      <c r="E120" s="62">
        <f>C119*1.0468</f>
        <v>754750193.14014792</v>
      </c>
      <c r="F120" s="62">
        <f>C119*1.072</f>
        <v>772919571.11792004</v>
      </c>
      <c r="G120" s="62">
        <f>C119*1.0936</f>
        <v>788493323.67029595</v>
      </c>
      <c r="H120" s="28"/>
      <c r="I120" s="10"/>
      <c r="J120" s="10"/>
      <c r="K120" s="29"/>
      <c r="L120" s="10"/>
      <c r="M120" s="29"/>
      <c r="N120" s="29"/>
      <c r="O120" s="29"/>
      <c r="P120" s="29"/>
      <c r="Q120" s="29"/>
      <c r="R120" s="29"/>
      <c r="S120" s="10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</row>
    <row r="121" spans="1:33" ht="28.8" x14ac:dyDescent="0.3">
      <c r="A121" s="29"/>
      <c r="B121" s="27" t="s">
        <v>278</v>
      </c>
      <c r="C121" s="10">
        <v>1</v>
      </c>
      <c r="D121" s="10">
        <f>D118/D120</f>
        <v>1.01654230903811</v>
      </c>
      <c r="E121" s="10">
        <f>E118/E120</f>
        <v>1.1326244892808728</v>
      </c>
      <c r="F121" s="10">
        <f>F118/F120</f>
        <v>0.89901589604591337</v>
      </c>
      <c r="G121" s="63">
        <f>G118/G120</f>
        <v>1.0588195723507445</v>
      </c>
      <c r="H121" s="28"/>
      <c r="I121" s="10"/>
      <c r="J121" s="10"/>
      <c r="K121" s="29"/>
      <c r="L121" s="10"/>
      <c r="M121" s="29"/>
      <c r="N121" s="29"/>
      <c r="O121" s="29"/>
      <c r="P121" s="29"/>
      <c r="Q121" s="29"/>
      <c r="R121" s="29"/>
      <c r="S121" s="10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1:33" ht="31.8" customHeight="1" x14ac:dyDescent="0.3">
      <c r="A122" s="55"/>
      <c r="B122" s="1"/>
    </row>
  </sheetData>
  <conditionalFormatting sqref="B4:B117 B122">
    <cfRule type="cellIs" dxfId="35" priority="6" operator="equal">
      <formula>"Yes"</formula>
    </cfRule>
  </conditionalFormatting>
  <conditionalFormatting sqref="M4:M117 M122">
    <cfRule type="cellIs" dxfId="34" priority="4" operator="equal">
      <formula>"Partial"</formula>
    </cfRule>
    <cfRule type="cellIs" dxfId="33" priority="5" operator="equal">
      <formula>"Yes"</formula>
    </cfRule>
  </conditionalFormatting>
  <conditionalFormatting sqref="B118:B121">
    <cfRule type="cellIs" dxfId="32" priority="3" operator="equal">
      <formula>"Yes"</formula>
    </cfRule>
  </conditionalFormatting>
  <conditionalFormatting sqref="M118:M121">
    <cfRule type="cellIs" dxfId="31" priority="1" operator="equal">
      <formula>"Partial"</formula>
    </cfRule>
    <cfRule type="cellIs" dxfId="30" priority="2" operator="equal">
      <formula>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1DA2-C9E1-45EF-8C5E-47DD5C47A4FC}">
  <dimension ref="A1:AG32"/>
  <sheetViews>
    <sheetView tabSelected="1" topLeftCell="A7" workbookViewId="0">
      <pane xSplit="1" topLeftCell="B1" activePane="topRight" state="frozen"/>
      <selection pane="topRight" activeCell="L21" sqref="L21"/>
    </sheetView>
  </sheetViews>
  <sheetFormatPr defaultRowHeight="14.4" x14ac:dyDescent="0.3"/>
  <cols>
    <col min="1" max="1" width="38.77734375" bestFit="1" customWidth="1"/>
    <col min="3" max="7" width="13.5546875" bestFit="1" customWidth="1"/>
    <col min="8" max="8" width="14.5546875" bestFit="1" customWidth="1"/>
    <col min="11" max="11" width="27.88671875" customWidth="1"/>
  </cols>
  <sheetData>
    <row r="1" spans="1:33" x14ac:dyDescent="0.3">
      <c r="B1" s="64" t="s">
        <v>229</v>
      </c>
      <c r="C1" s="64"/>
      <c r="D1" s="64"/>
      <c r="E1" s="64"/>
      <c r="F1" s="64"/>
      <c r="G1" s="64"/>
      <c r="H1" s="64"/>
      <c r="I1" s="26"/>
      <c r="J1" s="64" t="s">
        <v>238</v>
      </c>
      <c r="K1" s="64" t="s">
        <v>239</v>
      </c>
      <c r="L1" s="64" t="s">
        <v>240</v>
      </c>
      <c r="M1" s="65" t="s">
        <v>236</v>
      </c>
      <c r="N1" s="66"/>
      <c r="O1" s="66"/>
      <c r="P1" s="66"/>
      <c r="Q1" s="66"/>
      <c r="R1" s="66"/>
      <c r="S1" s="67"/>
      <c r="V1" s="65" t="s">
        <v>237</v>
      </c>
      <c r="W1" s="64"/>
      <c r="X1" s="64"/>
      <c r="Y1" s="64"/>
      <c r="Z1" s="64"/>
      <c r="AA1" s="64"/>
      <c r="AB1" s="66" t="s">
        <v>236</v>
      </c>
      <c r="AC1" s="66"/>
      <c r="AD1" s="66"/>
      <c r="AE1" s="66"/>
      <c r="AF1" s="66"/>
      <c r="AG1" s="67"/>
    </row>
    <row r="2" spans="1:33" ht="72" x14ac:dyDescent="0.3">
      <c r="B2" s="64"/>
      <c r="C2" s="64"/>
      <c r="D2" s="64"/>
      <c r="E2" s="64"/>
      <c r="F2" s="64"/>
      <c r="G2" s="64"/>
      <c r="H2" s="64"/>
      <c r="I2" s="26" t="s">
        <v>242</v>
      </c>
      <c r="J2" s="64"/>
      <c r="K2" s="64"/>
      <c r="L2" s="64"/>
      <c r="M2" s="65"/>
      <c r="N2" s="66"/>
      <c r="O2" s="66"/>
      <c r="P2" s="66"/>
      <c r="Q2" s="66"/>
      <c r="R2" s="66"/>
      <c r="S2" s="67"/>
      <c r="T2" s="68" t="s">
        <v>243</v>
      </c>
      <c r="V2" s="65"/>
      <c r="W2" s="64"/>
      <c r="X2" s="64"/>
      <c r="Y2" s="64"/>
      <c r="Z2" s="64"/>
      <c r="AA2" s="64"/>
      <c r="AB2" s="66"/>
      <c r="AC2" s="66"/>
      <c r="AD2" s="66"/>
      <c r="AE2" s="66"/>
      <c r="AF2" s="66"/>
      <c r="AG2" s="67"/>
    </row>
    <row r="3" spans="1:33" ht="28.8" x14ac:dyDescent="0.3">
      <c r="A3" t="s">
        <v>0</v>
      </c>
      <c r="B3" s="1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J3" s="64"/>
      <c r="K3" s="64"/>
      <c r="L3" s="64"/>
      <c r="M3" s="7" t="s">
        <v>241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s="31" t="s">
        <v>7</v>
      </c>
      <c r="T3" s="68"/>
      <c r="U3" t="s">
        <v>221</v>
      </c>
      <c r="V3" s="32" t="s">
        <v>230</v>
      </c>
      <c r="W3" s="25" t="s">
        <v>231</v>
      </c>
      <c r="X3" s="25" t="s">
        <v>232</v>
      </c>
      <c r="Y3" s="25" t="s">
        <v>233</v>
      </c>
      <c r="Z3" s="33" t="s">
        <v>234</v>
      </c>
      <c r="AA3" s="30" t="s">
        <v>220</v>
      </c>
      <c r="AB3" t="s">
        <v>2</v>
      </c>
      <c r="AC3" t="s">
        <v>3</v>
      </c>
      <c r="AD3" t="s">
        <v>4</v>
      </c>
      <c r="AE3" t="s">
        <v>5</v>
      </c>
      <c r="AF3" t="s">
        <v>6</v>
      </c>
      <c r="AG3" s="31"/>
    </row>
    <row r="4" spans="1:33" x14ac:dyDescent="0.3">
      <c r="A4" t="s">
        <v>22</v>
      </c>
      <c r="B4" s="1" t="s">
        <v>12</v>
      </c>
      <c r="C4" s="2">
        <v>1067662</v>
      </c>
      <c r="D4" s="2">
        <v>1066404</v>
      </c>
      <c r="E4" s="2">
        <v>1077460</v>
      </c>
      <c r="F4" s="2">
        <v>832880</v>
      </c>
      <c r="G4" s="2">
        <v>1100360</v>
      </c>
      <c r="H4" s="2">
        <v>5144766</v>
      </c>
      <c r="I4" s="6">
        <v>1.0306257973028918</v>
      </c>
      <c r="J4" t="b">
        <v>0</v>
      </c>
      <c r="K4" s="2">
        <v>1171118.4478</v>
      </c>
      <c r="L4" t="b">
        <v>1</v>
      </c>
      <c r="M4" s="7"/>
      <c r="N4" s="6"/>
      <c r="O4" s="6"/>
      <c r="P4" s="6"/>
      <c r="Q4" s="6"/>
      <c r="R4" s="6"/>
      <c r="S4" s="8"/>
      <c r="T4" s="9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G4" s="7">
        <v>0</v>
      </c>
    </row>
    <row r="5" spans="1:33" x14ac:dyDescent="0.3">
      <c r="A5" t="s">
        <v>34</v>
      </c>
      <c r="B5" s="1" t="s">
        <v>12</v>
      </c>
      <c r="C5" s="38">
        <v>3821262</v>
      </c>
      <c r="D5" s="38">
        <v>3858415</v>
      </c>
      <c r="E5" s="38">
        <v>3865868</v>
      </c>
      <c r="F5" s="38">
        <v>3617012</v>
      </c>
      <c r="G5" s="38">
        <v>3558511</v>
      </c>
      <c r="H5" s="2">
        <v>18721068</v>
      </c>
      <c r="I5" s="6">
        <v>0.93123973179541208</v>
      </c>
      <c r="J5" t="b">
        <v>1</v>
      </c>
      <c r="K5" s="2">
        <v>4191542.2878</v>
      </c>
      <c r="L5" t="b">
        <v>1</v>
      </c>
      <c r="M5" s="7" t="s">
        <v>12</v>
      </c>
      <c r="N5" s="6">
        <v>0.74003266404073398</v>
      </c>
      <c r="O5" s="6">
        <v>0.46006144393241166</v>
      </c>
      <c r="P5" s="6">
        <v>0.22004933051444681</v>
      </c>
      <c r="Q5" s="6">
        <v>0.79996069954804483</v>
      </c>
      <c r="R5" s="6">
        <v>0.52997303464011614</v>
      </c>
      <c r="S5" s="8">
        <v>0.55001543453515067</v>
      </c>
      <c r="T5" s="9">
        <v>0.55001543453515067</v>
      </c>
      <c r="U5" t="s">
        <v>235</v>
      </c>
      <c r="V5" s="7">
        <v>10409</v>
      </c>
      <c r="W5" s="7">
        <v>6510</v>
      </c>
      <c r="X5" s="7">
        <v>5676</v>
      </c>
      <c r="Y5" s="7">
        <v>5089</v>
      </c>
      <c r="Z5" s="7">
        <v>4821</v>
      </c>
      <c r="AA5" s="7">
        <v>32505</v>
      </c>
      <c r="AB5">
        <v>7703</v>
      </c>
      <c r="AC5">
        <v>2995</v>
      </c>
      <c r="AD5">
        <v>1249</v>
      </c>
      <c r="AE5">
        <v>4071</v>
      </c>
      <c r="AF5">
        <v>2555</v>
      </c>
      <c r="AG5" s="7">
        <v>18573</v>
      </c>
    </row>
    <row r="6" spans="1:33" x14ac:dyDescent="0.3">
      <c r="A6" t="s">
        <v>39</v>
      </c>
      <c r="B6" s="1" t="s">
        <v>12</v>
      </c>
      <c r="C6" s="38">
        <v>3744120</v>
      </c>
      <c r="D6" s="38">
        <v>2782993</v>
      </c>
      <c r="E6" s="38">
        <v>4799107</v>
      </c>
      <c r="F6" s="38">
        <v>3850211</v>
      </c>
      <c r="G6" s="38">
        <v>3475298</v>
      </c>
      <c r="H6" s="2">
        <v>18651729</v>
      </c>
      <c r="I6" s="6">
        <v>0.928201553369016</v>
      </c>
      <c r="J6" t="b">
        <v>1</v>
      </c>
      <c r="K6" s="2">
        <v>4106925.2280000001</v>
      </c>
      <c r="L6" t="b">
        <v>1</v>
      </c>
      <c r="M6" s="7" t="s">
        <v>12</v>
      </c>
      <c r="O6" s="6">
        <v>0.67390000000000005</v>
      </c>
      <c r="P6" s="6">
        <v>0.55489999999999995</v>
      </c>
      <c r="Q6" s="6">
        <v>0.51639999999999997</v>
      </c>
      <c r="R6" s="6">
        <v>0.64449999999999996</v>
      </c>
      <c r="S6" s="8">
        <v>0.59742499999999998</v>
      </c>
      <c r="T6" s="9">
        <v>0.59742499999999998</v>
      </c>
      <c r="U6" t="s">
        <v>235</v>
      </c>
      <c r="V6" s="7">
        <v>1698</v>
      </c>
      <c r="W6" s="7">
        <v>1517</v>
      </c>
      <c r="X6" s="7">
        <v>2082</v>
      </c>
      <c r="Y6" s="7">
        <v>1769</v>
      </c>
      <c r="Z6" s="7">
        <v>1628</v>
      </c>
      <c r="AA6" s="7">
        <v>8694</v>
      </c>
      <c r="AG6" s="7">
        <v>0</v>
      </c>
    </row>
    <row r="7" spans="1:33" x14ac:dyDescent="0.3">
      <c r="A7" t="s">
        <v>41</v>
      </c>
      <c r="B7" s="1" t="s">
        <v>12</v>
      </c>
      <c r="C7" s="2">
        <v>5758000</v>
      </c>
      <c r="D7" s="2">
        <v>6077000</v>
      </c>
      <c r="E7" s="2">
        <v>5619000</v>
      </c>
      <c r="F7" s="2">
        <v>4995000</v>
      </c>
      <c r="G7" s="2">
        <v>4424000</v>
      </c>
      <c r="H7" s="2">
        <v>26873000</v>
      </c>
      <c r="I7" s="6">
        <v>0.76832233414379991</v>
      </c>
      <c r="J7" t="b">
        <v>1</v>
      </c>
      <c r="K7" s="2">
        <v>6315950.2000000002</v>
      </c>
      <c r="L7" t="b">
        <v>1</v>
      </c>
      <c r="M7" s="7" t="s">
        <v>12</v>
      </c>
      <c r="N7" s="6"/>
      <c r="O7" s="6"/>
      <c r="P7" s="6">
        <v>0.45732009925558315</v>
      </c>
      <c r="Q7" s="6">
        <v>0.66737558485750748</v>
      </c>
      <c r="R7" s="6"/>
      <c r="S7" s="8">
        <v>0.56234784205654531</v>
      </c>
      <c r="T7" s="9">
        <v>0.56234784205654531</v>
      </c>
      <c r="U7" t="s">
        <v>235</v>
      </c>
      <c r="V7" s="7"/>
      <c r="W7" s="7"/>
      <c r="X7" s="7">
        <v>4030</v>
      </c>
      <c r="Y7" s="7">
        <v>2351</v>
      </c>
      <c r="Z7" s="7"/>
      <c r="AA7" s="7">
        <v>6381</v>
      </c>
      <c r="AD7">
        <v>1843</v>
      </c>
      <c r="AE7">
        <v>1569</v>
      </c>
      <c r="AG7" s="7">
        <v>3412</v>
      </c>
    </row>
    <row r="8" spans="1:33" x14ac:dyDescent="0.3">
      <c r="A8" t="s">
        <v>47</v>
      </c>
      <c r="B8" s="1" t="s">
        <v>12</v>
      </c>
      <c r="C8" s="2">
        <v>3623581</v>
      </c>
      <c r="D8" s="2">
        <v>3564692</v>
      </c>
      <c r="E8" s="2">
        <v>5183584</v>
      </c>
      <c r="F8" s="2">
        <v>7536018</v>
      </c>
      <c r="G8" s="2">
        <v>6071967</v>
      </c>
      <c r="H8" s="2">
        <v>25979842</v>
      </c>
      <c r="I8" s="6">
        <v>1.6756813218746869</v>
      </c>
      <c r="J8" t="b">
        <v>0</v>
      </c>
      <c r="K8" s="2">
        <v>3974705.9989</v>
      </c>
      <c r="L8" t="b">
        <v>0</v>
      </c>
      <c r="M8" s="7" t="s">
        <v>12</v>
      </c>
      <c r="N8" s="6">
        <v>0.89836956521739131</v>
      </c>
      <c r="O8" s="6">
        <v>0.84754990925589835</v>
      </c>
      <c r="P8" s="6">
        <v>0.86151736745886653</v>
      </c>
      <c r="Q8" s="6">
        <v>0.88600782778864973</v>
      </c>
      <c r="R8" s="6">
        <v>0.86498150431565968</v>
      </c>
      <c r="S8" s="8">
        <v>0.87168523480729321</v>
      </c>
      <c r="T8" s="9">
        <v>0.87168523480729321</v>
      </c>
      <c r="U8" t="s">
        <v>271</v>
      </c>
      <c r="V8" s="7">
        <v>1840</v>
      </c>
      <c r="W8" s="7">
        <v>1653</v>
      </c>
      <c r="X8" s="7">
        <v>2188</v>
      </c>
      <c r="Y8" s="7">
        <v>2044</v>
      </c>
      <c r="Z8" s="7">
        <v>1622</v>
      </c>
      <c r="AA8" s="7">
        <v>9347</v>
      </c>
      <c r="AB8">
        <v>1653</v>
      </c>
      <c r="AC8">
        <v>1401</v>
      </c>
      <c r="AD8">
        <v>1885</v>
      </c>
      <c r="AE8">
        <v>1811</v>
      </c>
      <c r="AF8">
        <v>1403</v>
      </c>
      <c r="AG8" s="7">
        <v>8153</v>
      </c>
    </row>
    <row r="9" spans="1:33" x14ac:dyDescent="0.3">
      <c r="A9" t="s">
        <v>53</v>
      </c>
      <c r="B9" s="1" t="s">
        <v>12</v>
      </c>
      <c r="C9" s="2">
        <v>2115005</v>
      </c>
      <c r="D9" s="2">
        <v>2099509</v>
      </c>
      <c r="E9" s="2">
        <v>2008001</v>
      </c>
      <c r="F9" s="2">
        <v>1875037</v>
      </c>
      <c r="G9" s="2">
        <v>1873965</v>
      </c>
      <c r="H9" s="2">
        <v>9971517</v>
      </c>
      <c r="I9" s="6">
        <v>0.88603336635137975</v>
      </c>
      <c r="J9" t="b">
        <v>1</v>
      </c>
      <c r="K9" s="2">
        <v>2319948.9844999998</v>
      </c>
      <c r="L9" t="b">
        <v>1</v>
      </c>
      <c r="M9" s="7"/>
      <c r="N9" s="6"/>
      <c r="O9" s="6"/>
      <c r="P9" s="6"/>
      <c r="Q9" s="6"/>
      <c r="R9" s="6"/>
      <c r="S9" s="8"/>
      <c r="T9" s="9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G9" s="7">
        <v>0</v>
      </c>
    </row>
    <row r="10" spans="1:33" x14ac:dyDescent="0.3">
      <c r="A10" t="s">
        <v>75</v>
      </c>
      <c r="B10" s="1" t="s">
        <v>12</v>
      </c>
      <c r="C10" s="2">
        <v>1071000</v>
      </c>
      <c r="D10" s="2">
        <v>1721000</v>
      </c>
      <c r="E10" s="2">
        <v>2551000</v>
      </c>
      <c r="F10" s="2">
        <v>2831000</v>
      </c>
      <c r="G10" s="2">
        <v>1825000</v>
      </c>
      <c r="H10" s="2">
        <v>9999000</v>
      </c>
      <c r="I10" s="6">
        <v>1.7040149393090569</v>
      </c>
      <c r="J10" t="b">
        <v>0</v>
      </c>
      <c r="K10" s="2">
        <v>1174779.8999999999</v>
      </c>
      <c r="L10" t="b">
        <v>0</v>
      </c>
      <c r="M10" s="7"/>
      <c r="N10" s="6"/>
      <c r="O10" s="6"/>
      <c r="P10" s="6"/>
      <c r="Q10" s="6"/>
      <c r="R10" s="6"/>
      <c r="S10" s="8"/>
      <c r="T10" s="9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G10" s="7">
        <v>0</v>
      </c>
    </row>
    <row r="11" spans="1:33" x14ac:dyDescent="0.3">
      <c r="A11" t="s">
        <v>80</v>
      </c>
      <c r="B11" s="1" t="s">
        <v>12</v>
      </c>
      <c r="C11" s="2">
        <v>5735470</v>
      </c>
      <c r="D11" s="2">
        <v>5586760</v>
      </c>
      <c r="E11" s="2">
        <v>4404540</v>
      </c>
      <c r="F11" s="2">
        <v>4454890</v>
      </c>
      <c r="G11" s="2">
        <v>4564180</v>
      </c>
      <c r="H11" s="2">
        <v>24745840</v>
      </c>
      <c r="I11" s="6">
        <v>0.7957813396286616</v>
      </c>
      <c r="J11" t="b">
        <v>1</v>
      </c>
      <c r="K11" s="2">
        <v>6291237.0429999996</v>
      </c>
      <c r="L11" t="b">
        <v>1</v>
      </c>
      <c r="M11" s="7"/>
      <c r="N11" s="6"/>
      <c r="O11" s="6"/>
      <c r="P11" s="6"/>
      <c r="Q11" s="6"/>
      <c r="R11" s="6"/>
      <c r="S11" s="8"/>
      <c r="T11" s="9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G11" s="7">
        <v>0</v>
      </c>
    </row>
    <row r="12" spans="1:33" x14ac:dyDescent="0.3">
      <c r="A12" t="s">
        <v>95</v>
      </c>
      <c r="B12" s="1" t="s">
        <v>12</v>
      </c>
      <c r="C12" s="2">
        <v>3842951</v>
      </c>
      <c r="D12" s="2">
        <v>3323981</v>
      </c>
      <c r="E12" s="2">
        <v>4460240</v>
      </c>
      <c r="F12" s="2">
        <v>4621720</v>
      </c>
      <c r="G12" s="2">
        <v>4582480</v>
      </c>
      <c r="H12" s="2">
        <v>20831372</v>
      </c>
      <c r="I12" s="6">
        <v>1.1924377906457824</v>
      </c>
      <c r="J12" t="b">
        <v>0</v>
      </c>
      <c r="K12" s="2">
        <v>4215332.9518999998</v>
      </c>
      <c r="L12" t="b">
        <v>0</v>
      </c>
      <c r="M12" s="7" t="s">
        <v>12</v>
      </c>
      <c r="N12" s="6">
        <v>1</v>
      </c>
      <c r="O12" s="6">
        <v>1</v>
      </c>
      <c r="P12" s="6">
        <v>1</v>
      </c>
      <c r="Q12" s="6">
        <v>1</v>
      </c>
      <c r="S12" s="8">
        <v>1</v>
      </c>
      <c r="T12" s="9">
        <v>1</v>
      </c>
      <c r="U12" t="s">
        <v>272</v>
      </c>
      <c r="V12" s="7">
        <v>162</v>
      </c>
      <c r="W12" s="7">
        <v>211</v>
      </c>
      <c r="X12" s="7">
        <v>61</v>
      </c>
      <c r="Y12" s="7">
        <v>18</v>
      </c>
      <c r="Z12" s="7">
        <v>0</v>
      </c>
      <c r="AA12" s="7">
        <v>452</v>
      </c>
      <c r="AG12" s="7">
        <v>0</v>
      </c>
    </row>
    <row r="13" spans="1:33" x14ac:dyDescent="0.3">
      <c r="A13" s="29" t="s">
        <v>117</v>
      </c>
      <c r="B13" s="27"/>
      <c r="C13" s="28"/>
      <c r="D13" s="28"/>
      <c r="E13" s="28"/>
      <c r="F13" s="28"/>
      <c r="G13" s="28"/>
      <c r="H13" s="28"/>
      <c r="I13" s="10"/>
      <c r="J13" s="29" t="b">
        <v>0</v>
      </c>
      <c r="K13" s="28">
        <v>0</v>
      </c>
      <c r="L13" s="29" t="b">
        <v>0</v>
      </c>
      <c r="M13" s="7"/>
      <c r="N13" s="10"/>
      <c r="O13" s="10"/>
      <c r="P13" s="10"/>
      <c r="Q13" s="10"/>
      <c r="R13" s="10"/>
      <c r="S13" s="10"/>
      <c r="T13" s="35">
        <v>0</v>
      </c>
      <c r="U13" s="29"/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29"/>
      <c r="AC13" s="29"/>
      <c r="AD13" s="29"/>
      <c r="AE13" s="29"/>
      <c r="AF13" s="29"/>
      <c r="AG13" s="7">
        <v>0</v>
      </c>
    </row>
    <row r="14" spans="1:33" x14ac:dyDescent="0.3">
      <c r="A14" t="s">
        <v>125</v>
      </c>
      <c r="B14" s="1"/>
      <c r="I14" s="6"/>
      <c r="J14" t="b">
        <v>0</v>
      </c>
      <c r="K14" s="2">
        <v>0</v>
      </c>
      <c r="L14" t="b">
        <v>0</v>
      </c>
      <c r="M14" s="7" t="s">
        <v>12</v>
      </c>
      <c r="N14" s="6">
        <v>0.75732484076433126</v>
      </c>
      <c r="O14" s="6">
        <v>0.76280238768457431</v>
      </c>
      <c r="P14" s="6">
        <v>0.77382596685082872</v>
      </c>
      <c r="Q14" s="6">
        <v>0.80657160570365782</v>
      </c>
      <c r="R14" s="6"/>
      <c r="S14" s="8">
        <v>0.77513120025084803</v>
      </c>
      <c r="T14" s="9">
        <v>0.77513120025084803</v>
      </c>
      <c r="U14" t="s">
        <v>271</v>
      </c>
      <c r="V14" s="7">
        <v>3140</v>
      </c>
      <c r="W14" s="7">
        <v>3183</v>
      </c>
      <c r="X14" s="7">
        <v>2896</v>
      </c>
      <c r="Y14" s="7">
        <v>3226</v>
      </c>
      <c r="Z14" s="7">
        <v>0</v>
      </c>
      <c r="AA14" s="7">
        <v>12445</v>
      </c>
      <c r="AB14">
        <v>2378</v>
      </c>
      <c r="AC14">
        <v>2428</v>
      </c>
      <c r="AD14">
        <v>2241</v>
      </c>
      <c r="AE14">
        <v>2602</v>
      </c>
      <c r="AF14" s="4"/>
      <c r="AG14" s="7">
        <v>9649</v>
      </c>
    </row>
    <row r="15" spans="1:33" x14ac:dyDescent="0.3">
      <c r="A15" t="s">
        <v>128</v>
      </c>
      <c r="B15" s="1"/>
      <c r="C15" s="29"/>
      <c r="D15" s="29"/>
      <c r="E15" s="29"/>
      <c r="F15" s="29"/>
      <c r="G15" s="29"/>
      <c r="H15" s="2"/>
      <c r="I15" s="6"/>
      <c r="J15" t="b">
        <v>0</v>
      </c>
      <c r="K15" s="2">
        <v>0</v>
      </c>
      <c r="L15" t="b">
        <v>0</v>
      </c>
      <c r="M15" s="7" t="s">
        <v>12</v>
      </c>
      <c r="N15" s="6">
        <v>0.5625</v>
      </c>
      <c r="O15" s="6">
        <v>0.56499999999999995</v>
      </c>
      <c r="P15" s="6">
        <v>0.75249999999999995</v>
      </c>
      <c r="Q15" s="6">
        <v>0.83250000000000002</v>
      </c>
      <c r="R15" s="6">
        <v>0.80500000000000005</v>
      </c>
      <c r="S15" s="8">
        <v>0.70350000000000001</v>
      </c>
      <c r="T15" s="9">
        <v>0.70350000000000001</v>
      </c>
      <c r="U15" t="s">
        <v>235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G15" s="7">
        <v>0</v>
      </c>
    </row>
    <row r="16" spans="1:33" x14ac:dyDescent="0.3">
      <c r="A16" t="s">
        <v>145</v>
      </c>
      <c r="B16" s="1" t="s">
        <v>12</v>
      </c>
      <c r="C16" s="2">
        <v>2879790</v>
      </c>
      <c r="D16" s="2">
        <v>2849500</v>
      </c>
      <c r="E16" s="2">
        <v>3082710</v>
      </c>
      <c r="F16" s="2">
        <v>2904000</v>
      </c>
      <c r="G16" s="2">
        <v>3067000</v>
      </c>
      <c r="H16" s="2">
        <v>14783000</v>
      </c>
      <c r="I16" s="6">
        <v>1.0650082124043767</v>
      </c>
      <c r="J16" t="b">
        <v>0</v>
      </c>
      <c r="K16" s="2">
        <v>3158841.6510000001</v>
      </c>
      <c r="L16" t="b">
        <v>1</v>
      </c>
      <c r="M16" s="7"/>
      <c r="N16" s="6"/>
      <c r="O16" s="6"/>
      <c r="P16" s="6"/>
      <c r="Q16" s="6"/>
      <c r="R16" s="6"/>
      <c r="S16" s="8"/>
      <c r="T16" s="9">
        <v>0</v>
      </c>
      <c r="V16" s="7">
        <v>0</v>
      </c>
      <c r="W16" s="7">
        <v>0</v>
      </c>
      <c r="X16" s="7">
        <v>0</v>
      </c>
      <c r="Y16" s="7">
        <v>0</v>
      </c>
      <c r="Z16" s="29">
        <v>0</v>
      </c>
      <c r="AA16" s="7">
        <v>0</v>
      </c>
      <c r="AG16" s="7">
        <v>0</v>
      </c>
    </row>
    <row r="17" spans="1:33" x14ac:dyDescent="0.3">
      <c r="A17" t="s">
        <v>151</v>
      </c>
      <c r="B17" s="1" t="s">
        <v>12</v>
      </c>
      <c r="C17" s="2">
        <v>1090480</v>
      </c>
      <c r="D17" s="2">
        <v>1073700</v>
      </c>
      <c r="E17" s="2">
        <v>782110</v>
      </c>
      <c r="F17" s="2">
        <v>802170</v>
      </c>
      <c r="G17" s="2">
        <v>785320</v>
      </c>
      <c r="H17" s="2">
        <v>4533780</v>
      </c>
      <c r="I17" s="6">
        <v>0.72015992957229846</v>
      </c>
      <c r="J17" t="b">
        <v>1</v>
      </c>
      <c r="K17" s="2">
        <v>1196147.5119999999</v>
      </c>
      <c r="L17" t="b">
        <v>1</v>
      </c>
      <c r="M17" s="7"/>
      <c r="S17" s="7"/>
      <c r="T17" s="9">
        <v>0</v>
      </c>
      <c r="V17" s="7"/>
      <c r="W17" s="7"/>
      <c r="X17" s="7"/>
      <c r="Y17" s="7"/>
      <c r="Z17" s="7"/>
      <c r="AA17" s="7"/>
      <c r="AG17" s="7"/>
    </row>
    <row r="18" spans="1:33" x14ac:dyDescent="0.3">
      <c r="A18" t="s">
        <v>194</v>
      </c>
      <c r="B18" s="1"/>
      <c r="C18" s="2"/>
      <c r="D18" s="2"/>
      <c r="E18" s="2"/>
      <c r="F18" s="2"/>
      <c r="G18" s="2"/>
      <c r="H18" s="2"/>
      <c r="I18" s="6"/>
      <c r="J18" t="b">
        <v>0</v>
      </c>
      <c r="K18" s="2">
        <v>0</v>
      </c>
      <c r="L18" t="b">
        <v>0</v>
      </c>
      <c r="M18" s="7" t="s">
        <v>12</v>
      </c>
      <c r="N18" s="6">
        <v>0.81164658634538156</v>
      </c>
      <c r="O18" s="6">
        <v>0.82070707070707072</v>
      </c>
      <c r="P18" s="6">
        <v>0.89131718842291785</v>
      </c>
      <c r="Q18" s="6">
        <v>0.83493282149712089</v>
      </c>
      <c r="R18" s="6">
        <v>0.90234561991383433</v>
      </c>
      <c r="S18" s="8">
        <v>0.85218985737726505</v>
      </c>
      <c r="T18" s="9">
        <v>0.85218985737726505</v>
      </c>
      <c r="U18" t="s">
        <v>271</v>
      </c>
      <c r="V18" s="7">
        <v>2490</v>
      </c>
      <c r="W18" s="7">
        <v>1980</v>
      </c>
      <c r="X18" s="7">
        <v>1693</v>
      </c>
      <c r="Y18" s="7">
        <v>2084</v>
      </c>
      <c r="Z18" s="7">
        <v>2089</v>
      </c>
      <c r="AA18" s="7">
        <v>10336</v>
      </c>
      <c r="AB18">
        <v>2021</v>
      </c>
      <c r="AC18">
        <v>1625</v>
      </c>
      <c r="AD18">
        <v>1509</v>
      </c>
      <c r="AE18">
        <v>1740</v>
      </c>
      <c r="AF18">
        <v>1885</v>
      </c>
      <c r="AG18" s="7">
        <v>8780</v>
      </c>
    </row>
    <row r="19" spans="1:33" x14ac:dyDescent="0.3">
      <c r="A19" t="s">
        <v>198</v>
      </c>
      <c r="B19" s="1" t="s">
        <v>12</v>
      </c>
      <c r="C19" s="2">
        <v>1447347</v>
      </c>
      <c r="D19" s="2">
        <v>1194329</v>
      </c>
      <c r="E19" s="2">
        <v>2558861</v>
      </c>
      <c r="F19" s="2">
        <v>2524952</v>
      </c>
      <c r="G19" s="2">
        <v>1787204</v>
      </c>
      <c r="H19" s="2">
        <v>9512693</v>
      </c>
      <c r="I19" s="6">
        <v>1.23481376615283</v>
      </c>
      <c r="J19" t="b">
        <v>0</v>
      </c>
      <c r="K19" s="2">
        <v>1587594.9243000001</v>
      </c>
      <c r="L19" t="b">
        <v>0</v>
      </c>
      <c r="M19" s="7"/>
      <c r="N19" s="6"/>
      <c r="O19" s="6"/>
      <c r="P19" s="6"/>
      <c r="Q19" s="6"/>
      <c r="R19" s="6"/>
      <c r="S19" s="8">
        <v>0</v>
      </c>
      <c r="T19" s="9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G19" s="7">
        <v>0</v>
      </c>
    </row>
    <row r="20" spans="1:33" x14ac:dyDescent="0.3">
      <c r="A20" s="29" t="s">
        <v>217</v>
      </c>
      <c r="B20" s="29" t="s">
        <v>12</v>
      </c>
      <c r="C20" s="28">
        <v>5395381</v>
      </c>
      <c r="D20" s="28">
        <v>3234912</v>
      </c>
      <c r="E20" s="28">
        <v>4683857</v>
      </c>
      <c r="F20" s="28">
        <v>5012319</v>
      </c>
      <c r="G20" s="28">
        <v>5259336</v>
      </c>
      <c r="H20" s="28">
        <v>23585805</v>
      </c>
      <c r="I20" s="10">
        <v>0.97478491324338357</v>
      </c>
      <c r="J20" s="29" t="b">
        <v>1</v>
      </c>
      <c r="K20" s="28">
        <v>5918193.4188999999</v>
      </c>
      <c r="L20" s="29" t="b">
        <v>1</v>
      </c>
      <c r="M20" s="7"/>
      <c r="N20" s="29"/>
      <c r="O20" s="29"/>
      <c r="P20" s="29"/>
      <c r="Q20" s="29"/>
      <c r="R20" s="29"/>
      <c r="S20" s="7"/>
      <c r="T20" s="35">
        <v>0</v>
      </c>
      <c r="U20" s="29"/>
      <c r="V20" s="7"/>
      <c r="W20" s="7"/>
      <c r="X20" s="7"/>
      <c r="Y20" s="7"/>
      <c r="Z20" s="7"/>
      <c r="AA20" s="7"/>
      <c r="AB20" s="29"/>
      <c r="AC20" s="29"/>
      <c r="AD20" s="29"/>
      <c r="AE20" s="29"/>
      <c r="AF20" s="29"/>
      <c r="AG20" s="7"/>
    </row>
    <row r="21" spans="1:33" ht="43.2" x14ac:dyDescent="0.3">
      <c r="B21">
        <f>COUNTIF(B4:B20, "Yes")</f>
        <v>13</v>
      </c>
      <c r="I21" s="1" t="s">
        <v>273</v>
      </c>
      <c r="J21">
        <f>COUNTIF(J1:J20, TRUE)</f>
        <v>7</v>
      </c>
      <c r="K21" t="s">
        <v>275</v>
      </c>
      <c r="L21" s="59">
        <f>COUNTIF(L1:L20, TRUE)</f>
        <v>9</v>
      </c>
    </row>
    <row r="22" spans="1:33" ht="43.2" x14ac:dyDescent="0.3">
      <c r="A22" s="36" t="s">
        <v>219</v>
      </c>
      <c r="B22" s="1"/>
      <c r="C22" s="2">
        <f>SUM(C1:C20)</f>
        <v>41592049</v>
      </c>
      <c r="D22" s="2">
        <f t="shared" ref="D22:H22" si="0">SUM(D1:D20)</f>
        <v>38433195</v>
      </c>
      <c r="E22" s="2">
        <f t="shared" si="0"/>
        <v>45076338</v>
      </c>
      <c r="F22" s="2">
        <f t="shared" si="0"/>
        <v>45857209</v>
      </c>
      <c r="G22" s="2">
        <f t="shared" si="0"/>
        <v>42374621</v>
      </c>
      <c r="H22" s="2">
        <f t="shared" si="0"/>
        <v>213333412</v>
      </c>
      <c r="I22" s="1" t="s">
        <v>274</v>
      </c>
      <c r="J22" s="6">
        <f>J21/B21</f>
        <v>0.53846153846153844</v>
      </c>
      <c r="K22" t="s">
        <v>275</v>
      </c>
      <c r="L22" s="6">
        <f>L21/B21</f>
        <v>0.69230769230769229</v>
      </c>
      <c r="M22">
        <f>COUNTIF(M1:M20, "Yes")</f>
        <v>8</v>
      </c>
    </row>
    <row r="23" spans="1:33" x14ac:dyDescent="0.3">
      <c r="C23" s="2">
        <f>C22</f>
        <v>41592049</v>
      </c>
      <c r="D23" s="6">
        <f>D22/C23</f>
        <v>0.92405149359196037</v>
      </c>
      <c r="E23" s="6">
        <f>E22/C23</f>
        <v>1.0837729586248563</v>
      </c>
      <c r="F23" s="6">
        <f>F22/C23</f>
        <v>1.1025474844963756</v>
      </c>
      <c r="G23" s="69">
        <f>G22/C23</f>
        <v>1.0188154231112778</v>
      </c>
    </row>
    <row r="26" spans="1:33" x14ac:dyDescent="0.3">
      <c r="C26" s="25" t="s">
        <v>246</v>
      </c>
    </row>
    <row r="27" spans="1:33" ht="43.2" x14ac:dyDescent="0.3">
      <c r="C27" s="11" t="s">
        <v>223</v>
      </c>
      <c r="D27" s="12" t="s">
        <v>224</v>
      </c>
      <c r="E27" s="13" t="s">
        <v>225</v>
      </c>
    </row>
    <row r="28" spans="1:33" x14ac:dyDescent="0.3">
      <c r="C28" s="14" t="s">
        <v>226</v>
      </c>
      <c r="D28" s="17">
        <f>D32-D29-D30-D31</f>
        <v>4</v>
      </c>
      <c r="E28" s="16">
        <f>D28/D32</f>
        <v>0.5</v>
      </c>
    </row>
    <row r="29" spans="1:33" x14ac:dyDescent="0.3">
      <c r="C29" s="14" t="s">
        <v>227</v>
      </c>
      <c r="D29" s="17">
        <f>COUNTIF(U:U, "75-90%")</f>
        <v>3</v>
      </c>
      <c r="E29" s="16">
        <f>D29/D32</f>
        <v>0.375</v>
      </c>
    </row>
    <row r="30" spans="1:33" x14ac:dyDescent="0.3">
      <c r="C30" s="18" t="s">
        <v>228</v>
      </c>
      <c r="D30" s="15">
        <f>COUNTIF(U:U, "90-99%")</f>
        <v>0</v>
      </c>
      <c r="E30" s="16">
        <f>D30/D32</f>
        <v>0</v>
      </c>
    </row>
    <row r="31" spans="1:33" ht="15" thickBot="1" x14ac:dyDescent="0.35">
      <c r="C31" s="19">
        <v>1</v>
      </c>
      <c r="D31" s="20">
        <f>COUNTIF(U:U, "100%")</f>
        <v>1</v>
      </c>
      <c r="E31" s="21">
        <f>D31/D32</f>
        <v>0.125</v>
      </c>
    </row>
    <row r="32" spans="1:33" x14ac:dyDescent="0.3">
      <c r="C32" s="22" t="s">
        <v>7</v>
      </c>
      <c r="D32" s="23">
        <f>M22</f>
        <v>8</v>
      </c>
      <c r="E32" s="24">
        <f>D32/D32</f>
        <v>1</v>
      </c>
    </row>
  </sheetData>
  <mergeCells count="8">
    <mergeCell ref="AB1:AG2"/>
    <mergeCell ref="T2:T3"/>
    <mergeCell ref="B1:H2"/>
    <mergeCell ref="J1:J3"/>
    <mergeCell ref="K1:K3"/>
    <mergeCell ref="L1:L3"/>
    <mergeCell ref="M1:S2"/>
    <mergeCell ref="V1:AA2"/>
  </mergeCells>
  <conditionalFormatting sqref="B4:B20">
    <cfRule type="cellIs" dxfId="29" priority="10" operator="equal">
      <formula>"Yes"</formula>
    </cfRule>
  </conditionalFormatting>
  <conditionalFormatting sqref="M4:M20">
    <cfRule type="cellIs" dxfId="28" priority="8" operator="equal">
      <formula>"Partial"</formula>
    </cfRule>
    <cfRule type="cellIs" dxfId="27" priority="9" operator="equal">
      <formula>"Yes"</formula>
    </cfRule>
  </conditionalFormatting>
  <conditionalFormatting sqref="B3">
    <cfRule type="cellIs" dxfId="26" priority="7" operator="equal">
      <formula>"Yes"</formula>
    </cfRule>
  </conditionalFormatting>
  <conditionalFormatting sqref="M1 M3">
    <cfRule type="cellIs" dxfId="25" priority="5" operator="equal">
      <formula>"Partial"</formula>
    </cfRule>
    <cfRule type="cellIs" dxfId="24" priority="6" operator="equal">
      <formula>"Yes"</formula>
    </cfRule>
  </conditionalFormatting>
  <conditionalFormatting sqref="AB1">
    <cfRule type="cellIs" dxfId="23" priority="3" operator="equal">
      <formula>"Partial"</formula>
    </cfRule>
    <cfRule type="cellIs" dxfId="22" priority="4" operator="equal">
      <formula>"Yes"</formula>
    </cfRule>
  </conditionalFormatting>
  <conditionalFormatting sqref="B22">
    <cfRule type="cellIs" dxfId="21" priority="2" operator="equal">
      <formula>"Yes"</formula>
    </cfRule>
  </conditionalFormatting>
  <conditionalFormatting sqref="C26:C32">
    <cfRule type="cellIs" dxfId="20" priority="1" operator="equal">
      <formula>"Yes"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5581-49B2-4F72-A0E5-7CCC461ABE38}">
  <dimension ref="A1:AG42"/>
  <sheetViews>
    <sheetView workbookViewId="0">
      <selection activeCell="R30" sqref="R30"/>
    </sheetView>
  </sheetViews>
  <sheetFormatPr defaultRowHeight="14.4" x14ac:dyDescent="0.3"/>
  <cols>
    <col min="1" max="1" width="20" bestFit="1" customWidth="1"/>
    <col min="3" max="7" width="13.5546875" bestFit="1" customWidth="1"/>
    <col min="8" max="8" width="14.5546875" bestFit="1" customWidth="1"/>
    <col min="11" max="11" width="17.88671875" customWidth="1"/>
    <col min="20" max="20" width="11.6640625" bestFit="1" customWidth="1"/>
  </cols>
  <sheetData>
    <row r="1" spans="1:33" x14ac:dyDescent="0.3">
      <c r="B1" s="64" t="s">
        <v>229</v>
      </c>
      <c r="C1" s="64"/>
      <c r="D1" s="64"/>
      <c r="E1" s="64"/>
      <c r="F1" s="64"/>
      <c r="G1" s="64"/>
      <c r="H1" s="64"/>
      <c r="I1" s="26"/>
      <c r="J1" s="64" t="s">
        <v>238</v>
      </c>
      <c r="K1" s="64" t="s">
        <v>239</v>
      </c>
      <c r="L1" s="64" t="s">
        <v>240</v>
      </c>
      <c r="M1" s="65" t="s">
        <v>236</v>
      </c>
      <c r="N1" s="66"/>
      <c r="O1" s="66"/>
      <c r="P1" s="66"/>
      <c r="Q1" s="66"/>
      <c r="R1" s="66"/>
      <c r="S1" s="67"/>
      <c r="V1" s="65" t="s">
        <v>237</v>
      </c>
      <c r="W1" s="64"/>
      <c r="X1" s="64"/>
      <c r="Y1" s="64"/>
      <c r="Z1" s="64"/>
      <c r="AA1" s="64"/>
      <c r="AB1" s="66" t="s">
        <v>236</v>
      </c>
      <c r="AC1" s="66"/>
      <c r="AD1" s="66"/>
      <c r="AE1" s="66"/>
      <c r="AF1" s="66"/>
      <c r="AG1" s="67"/>
    </row>
    <row r="2" spans="1:33" ht="72" x14ac:dyDescent="0.3">
      <c r="B2" s="64"/>
      <c r="C2" s="64"/>
      <c r="D2" s="64"/>
      <c r="E2" s="64"/>
      <c r="F2" s="64"/>
      <c r="G2" s="64"/>
      <c r="H2" s="64"/>
      <c r="I2" s="26" t="s">
        <v>242</v>
      </c>
      <c r="J2" s="64"/>
      <c r="K2" s="64"/>
      <c r="L2" s="64"/>
      <c r="M2" s="65"/>
      <c r="N2" s="66"/>
      <c r="O2" s="66"/>
      <c r="P2" s="66"/>
      <c r="Q2" s="66"/>
      <c r="R2" s="66"/>
      <c r="S2" s="67"/>
      <c r="T2" s="68" t="s">
        <v>243</v>
      </c>
      <c r="V2" s="65"/>
      <c r="W2" s="64"/>
      <c r="X2" s="64"/>
      <c r="Y2" s="64"/>
      <c r="Z2" s="64"/>
      <c r="AA2" s="64"/>
      <c r="AB2" s="66"/>
      <c r="AC2" s="66"/>
      <c r="AD2" s="66"/>
      <c r="AE2" s="66"/>
      <c r="AF2" s="66"/>
      <c r="AG2" s="67"/>
    </row>
    <row r="3" spans="1:33" ht="28.8" x14ac:dyDescent="0.3">
      <c r="A3" t="s">
        <v>0</v>
      </c>
      <c r="B3" s="1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J3" s="64"/>
      <c r="K3" s="64"/>
      <c r="L3" s="64"/>
      <c r="M3" s="7" t="s">
        <v>241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s="31" t="s">
        <v>7</v>
      </c>
      <c r="T3" s="68"/>
      <c r="U3" t="s">
        <v>221</v>
      </c>
      <c r="V3" s="32" t="s">
        <v>230</v>
      </c>
      <c r="W3" s="25" t="s">
        <v>231</v>
      </c>
      <c r="X3" s="25" t="s">
        <v>232</v>
      </c>
      <c r="Y3" s="25" t="s">
        <v>233</v>
      </c>
      <c r="Z3" s="33" t="s">
        <v>234</v>
      </c>
      <c r="AA3" s="30" t="s">
        <v>220</v>
      </c>
      <c r="AB3" t="s">
        <v>2</v>
      </c>
      <c r="AC3" t="s">
        <v>3</v>
      </c>
      <c r="AD3" t="s">
        <v>4</v>
      </c>
      <c r="AE3" t="s">
        <v>5</v>
      </c>
      <c r="AF3" t="s">
        <v>6</v>
      </c>
      <c r="AG3" s="31"/>
    </row>
    <row r="4" spans="1:33" x14ac:dyDescent="0.3">
      <c r="A4" t="s">
        <v>11</v>
      </c>
      <c r="B4" s="1" t="s">
        <v>12</v>
      </c>
      <c r="C4" s="28">
        <v>1704500</v>
      </c>
      <c r="D4" s="28">
        <v>1616056</v>
      </c>
      <c r="E4" s="28">
        <v>1618556</v>
      </c>
      <c r="F4" s="28">
        <v>1665957</v>
      </c>
      <c r="G4" s="28">
        <v>1506001</v>
      </c>
      <c r="H4" s="2">
        <v>8111070</v>
      </c>
      <c r="I4" s="6">
        <v>0.88354414784394253</v>
      </c>
      <c r="J4" t="b">
        <v>1</v>
      </c>
      <c r="K4" s="2">
        <v>1869666.05</v>
      </c>
      <c r="L4" t="b">
        <v>1</v>
      </c>
      <c r="M4" s="7"/>
      <c r="N4" s="6"/>
      <c r="O4" s="6"/>
      <c r="P4" s="6"/>
      <c r="Q4" s="6"/>
      <c r="R4" s="6"/>
      <c r="S4" s="8"/>
      <c r="T4" s="9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G4" s="7">
        <v>0</v>
      </c>
    </row>
    <row r="5" spans="1:33" x14ac:dyDescent="0.3">
      <c r="A5" t="s">
        <v>46</v>
      </c>
      <c r="B5" s="1" t="s">
        <v>12</v>
      </c>
      <c r="C5" s="2">
        <v>609000</v>
      </c>
      <c r="D5" s="2">
        <v>609000</v>
      </c>
      <c r="E5" s="2">
        <v>409000</v>
      </c>
      <c r="F5" s="2">
        <v>409000</v>
      </c>
      <c r="G5" s="2">
        <v>409000</v>
      </c>
      <c r="H5" s="2">
        <f>SUM(C5:G5)</f>
        <v>2445000</v>
      </c>
      <c r="I5" s="6">
        <f>G5/C5</f>
        <v>0.67159277504105086</v>
      </c>
      <c r="J5" t="b">
        <f>IF(G5&lt;C5, TRUE, FALSE)</f>
        <v>1</v>
      </c>
      <c r="K5" s="2">
        <f>C5*1.0969</f>
        <v>668012.1</v>
      </c>
      <c r="L5" t="b">
        <f>IF(G5&lt;K5, TRUE, FALSE)</f>
        <v>1</v>
      </c>
      <c r="M5" s="7" t="s">
        <v>12</v>
      </c>
      <c r="N5" s="6">
        <v>1</v>
      </c>
      <c r="O5" s="6">
        <v>0.96</v>
      </c>
      <c r="P5" s="6">
        <v>1</v>
      </c>
      <c r="Q5" s="6">
        <v>1</v>
      </c>
      <c r="R5" s="6"/>
      <c r="S5" s="8" cm="1">
        <f t="array" ref="S5">SUM(N5:R5/4)</f>
        <v>0.99</v>
      </c>
      <c r="T5" s="9">
        <f>S5</f>
        <v>0.99</v>
      </c>
      <c r="U5" t="str">
        <f>IF(IFERROR(T5, 0) &gt; 0, IF(T5&lt;75%,"&lt;75%",IF(T5&lt;90%,"75-90%",IF(T5&lt;100%,"90-99%","100%"))), "")</f>
        <v>90-99%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f>SUM(V5+W5+X5+Y5+Z5)</f>
        <v>0</v>
      </c>
      <c r="AG5" s="7">
        <f>SUM(AB5:AF5)</f>
        <v>0</v>
      </c>
    </row>
    <row r="6" spans="1:33" x14ac:dyDescent="0.3">
      <c r="A6" t="s">
        <v>60</v>
      </c>
      <c r="B6" s="1" t="s">
        <v>12</v>
      </c>
      <c r="C6" s="39">
        <v>8611076</v>
      </c>
      <c r="D6" s="39">
        <v>9749645.0999999996</v>
      </c>
      <c r="E6" s="39">
        <v>5878037</v>
      </c>
      <c r="F6" s="39">
        <v>5268177</v>
      </c>
      <c r="G6" s="39">
        <v>5652759.7400000002</v>
      </c>
      <c r="H6" s="2">
        <v>35159694.840000004</v>
      </c>
      <c r="I6" s="6">
        <v>0.65645219482443307</v>
      </c>
      <c r="J6" t="b">
        <v>1</v>
      </c>
      <c r="K6" s="2">
        <v>9445489.2643999998</v>
      </c>
      <c r="L6" t="b">
        <v>1</v>
      </c>
      <c r="M6" s="7"/>
      <c r="N6" s="6"/>
      <c r="O6" s="6"/>
      <c r="P6" s="6"/>
      <c r="Q6" s="6"/>
      <c r="R6" s="6"/>
      <c r="S6" s="8"/>
      <c r="T6" s="9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G6" s="7">
        <v>0</v>
      </c>
    </row>
    <row r="7" spans="1:33" x14ac:dyDescent="0.3">
      <c r="A7" t="s">
        <v>61</v>
      </c>
      <c r="B7" s="1"/>
      <c r="C7" s="2"/>
      <c r="D7" s="2"/>
      <c r="E7" s="2"/>
      <c r="F7" s="2"/>
      <c r="G7" s="2"/>
      <c r="H7" s="2"/>
      <c r="I7" s="6"/>
      <c r="J7" t="b">
        <v>0</v>
      </c>
      <c r="K7" s="2">
        <v>0</v>
      </c>
      <c r="L7" t="b">
        <v>0</v>
      </c>
      <c r="M7" s="7"/>
      <c r="N7" s="6"/>
      <c r="O7" s="6"/>
      <c r="P7" s="6"/>
      <c r="Q7" s="6"/>
      <c r="R7" s="6"/>
      <c r="S7" s="8"/>
      <c r="T7" s="9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G7" s="7">
        <v>0</v>
      </c>
    </row>
    <row r="8" spans="1:33" x14ac:dyDescent="0.3">
      <c r="A8" t="s">
        <v>64</v>
      </c>
      <c r="B8" s="1" t="s">
        <v>12</v>
      </c>
      <c r="C8" s="2">
        <v>6808512</v>
      </c>
      <c r="D8" s="2">
        <v>5394683</v>
      </c>
      <c r="E8" s="2">
        <v>8336959</v>
      </c>
      <c r="F8" s="2">
        <v>9314253</v>
      </c>
      <c r="G8" s="2">
        <v>8511000</v>
      </c>
      <c r="H8" s="2">
        <v>38365407</v>
      </c>
      <c r="I8" s="6">
        <v>1.2500528749894251</v>
      </c>
      <c r="J8" t="b">
        <v>0</v>
      </c>
      <c r="K8" s="2">
        <v>7468256.8127999995</v>
      </c>
      <c r="L8" t="b">
        <v>0</v>
      </c>
      <c r="M8" s="7"/>
      <c r="N8" s="6"/>
      <c r="O8" s="6"/>
      <c r="P8" s="6"/>
      <c r="Q8" s="6"/>
      <c r="R8" s="6"/>
      <c r="S8" s="8"/>
      <c r="T8" s="9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G8" s="7">
        <v>0</v>
      </c>
    </row>
    <row r="9" spans="1:33" x14ac:dyDescent="0.3">
      <c r="A9" t="s">
        <v>65</v>
      </c>
      <c r="B9" s="1" t="s">
        <v>12</v>
      </c>
      <c r="C9" s="28">
        <v>3323045</v>
      </c>
      <c r="D9" s="28">
        <v>3371373</v>
      </c>
      <c r="E9" s="28">
        <v>3371373</v>
      </c>
      <c r="F9" s="28">
        <v>3150046</v>
      </c>
      <c r="G9" s="28">
        <v>7110687</v>
      </c>
      <c r="H9" s="2">
        <v>20326524</v>
      </c>
      <c r="I9" s="6">
        <v>2.139810625495592</v>
      </c>
      <c r="J9" t="b">
        <v>0</v>
      </c>
      <c r="K9" s="2">
        <v>3645048.0605000001</v>
      </c>
      <c r="L9" t="b">
        <v>0</v>
      </c>
      <c r="M9" s="7"/>
      <c r="N9" s="6"/>
      <c r="O9" s="6"/>
      <c r="P9" s="6"/>
      <c r="Q9" s="6"/>
      <c r="R9" s="6"/>
      <c r="S9" s="8"/>
      <c r="T9" s="9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G9" s="7">
        <v>0</v>
      </c>
    </row>
    <row r="10" spans="1:33" x14ac:dyDescent="0.3">
      <c r="A10" t="s">
        <v>70</v>
      </c>
      <c r="B10" s="1" t="s">
        <v>12</v>
      </c>
      <c r="C10" s="2">
        <v>3131000</v>
      </c>
      <c r="D10" s="2">
        <v>4241000</v>
      </c>
      <c r="E10" s="2">
        <v>3068000</v>
      </c>
      <c r="F10" s="2">
        <v>2567000</v>
      </c>
      <c r="G10" s="2">
        <v>2567000</v>
      </c>
      <c r="H10" s="2">
        <v>15574000</v>
      </c>
      <c r="I10" s="6">
        <v>0.81986585755349728</v>
      </c>
      <c r="J10" t="b">
        <v>1</v>
      </c>
      <c r="K10" s="2">
        <v>3434393.9</v>
      </c>
      <c r="L10" t="b">
        <v>1</v>
      </c>
      <c r="M10" s="7" t="s">
        <v>12</v>
      </c>
      <c r="N10" s="6"/>
      <c r="O10" s="6"/>
      <c r="P10" s="6">
        <v>0.73023834803939514</v>
      </c>
      <c r="Q10" s="6">
        <v>0.93551183149865647</v>
      </c>
      <c r="R10" s="6">
        <v>0.80144433625446287</v>
      </c>
      <c r="S10" s="8">
        <v>0.8223981719308382</v>
      </c>
      <c r="T10" s="9">
        <v>0.8223981719308382</v>
      </c>
      <c r="U10" t="s">
        <v>271</v>
      </c>
      <c r="V10" s="7">
        <v>0</v>
      </c>
      <c r="W10" s="7">
        <v>0</v>
      </c>
      <c r="X10" s="7">
        <v>27313</v>
      </c>
      <c r="Y10" s="7">
        <v>23074</v>
      </c>
      <c r="Z10" s="7">
        <v>24648</v>
      </c>
      <c r="AA10" s="7">
        <v>75035</v>
      </c>
      <c r="AD10">
        <v>19945</v>
      </c>
      <c r="AE10">
        <v>21586</v>
      </c>
      <c r="AF10">
        <v>19754</v>
      </c>
      <c r="AG10" s="7">
        <v>61285</v>
      </c>
    </row>
    <row r="11" spans="1:33" x14ac:dyDescent="0.3">
      <c r="A11" t="s">
        <v>73</v>
      </c>
      <c r="B11" s="1" t="s">
        <v>12</v>
      </c>
      <c r="C11" s="2">
        <v>4591000</v>
      </c>
      <c r="D11" s="2">
        <v>3668000</v>
      </c>
      <c r="E11" s="2">
        <v>5901000</v>
      </c>
      <c r="F11" s="2">
        <v>5321000</v>
      </c>
      <c r="G11" s="2">
        <v>11673000</v>
      </c>
      <c r="H11" s="2">
        <v>31154000</v>
      </c>
      <c r="I11" s="6">
        <v>2.5425833151818775</v>
      </c>
      <c r="J11" t="b">
        <v>0</v>
      </c>
      <c r="K11" s="2">
        <v>5035867.9000000004</v>
      </c>
      <c r="L11" t="b">
        <v>0</v>
      </c>
      <c r="M11" s="7" t="s">
        <v>12</v>
      </c>
      <c r="N11" s="6">
        <v>0.76</v>
      </c>
      <c r="O11" s="6">
        <v>0.83699999999999997</v>
      </c>
      <c r="P11" s="6">
        <v>0.60499999999999998</v>
      </c>
      <c r="Q11" s="6">
        <v>0.78700000000000003</v>
      </c>
      <c r="R11" s="6">
        <v>0.77</v>
      </c>
      <c r="S11" s="8">
        <v>0.75180000000000002</v>
      </c>
      <c r="T11" s="9">
        <v>0.75180000000000002</v>
      </c>
      <c r="U11" t="s">
        <v>271</v>
      </c>
      <c r="V11" s="7">
        <v>2660</v>
      </c>
      <c r="W11" s="7">
        <v>1985</v>
      </c>
      <c r="X11" s="7">
        <v>3353</v>
      </c>
      <c r="Y11" s="7">
        <v>2408</v>
      </c>
      <c r="Z11" s="7">
        <v>2627</v>
      </c>
      <c r="AA11" s="7">
        <v>13033</v>
      </c>
      <c r="AG11" s="7">
        <v>0</v>
      </c>
    </row>
    <row r="12" spans="1:33" x14ac:dyDescent="0.3">
      <c r="A12" t="s">
        <v>74</v>
      </c>
      <c r="B12" s="1" t="s">
        <v>12</v>
      </c>
      <c r="C12" s="2">
        <v>11236991</v>
      </c>
      <c r="D12" s="2">
        <v>12168316</v>
      </c>
      <c r="E12" s="2">
        <v>12316199</v>
      </c>
      <c r="F12" s="2">
        <v>13377024</v>
      </c>
      <c r="G12" s="2">
        <v>11368574</v>
      </c>
      <c r="H12" s="2">
        <v>60467104</v>
      </c>
      <c r="I12" s="6">
        <v>1.0117098073674706</v>
      </c>
      <c r="J12" t="b">
        <v>0</v>
      </c>
      <c r="K12" s="2">
        <v>12325855.4279</v>
      </c>
      <c r="L12" t="b">
        <v>1</v>
      </c>
      <c r="M12" s="7"/>
      <c r="N12" s="6"/>
      <c r="O12" s="6"/>
      <c r="P12" s="6"/>
      <c r="Q12" s="6"/>
      <c r="R12" s="6"/>
      <c r="S12" s="8"/>
      <c r="T12" s="9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G12" s="7">
        <v>0</v>
      </c>
    </row>
    <row r="13" spans="1:33" x14ac:dyDescent="0.3">
      <c r="A13" t="s">
        <v>77</v>
      </c>
      <c r="B13" s="1" t="s">
        <v>12</v>
      </c>
      <c r="C13" s="38">
        <v>7648600</v>
      </c>
      <c r="D13" s="38">
        <v>7206800</v>
      </c>
      <c r="E13" s="38">
        <v>7125800</v>
      </c>
      <c r="F13" s="38">
        <v>7330957</v>
      </c>
      <c r="G13" s="38">
        <v>7346000</v>
      </c>
      <c r="H13" s="2">
        <v>36658157</v>
      </c>
      <c r="I13" s="6">
        <v>0.96043720419423162</v>
      </c>
      <c r="J13" t="b">
        <v>1</v>
      </c>
      <c r="K13" s="2">
        <v>8389749.3399999999</v>
      </c>
      <c r="L13" t="b">
        <v>1</v>
      </c>
      <c r="M13" s="7" t="s">
        <v>12</v>
      </c>
      <c r="N13" s="6">
        <v>0.82083904221308801</v>
      </c>
      <c r="O13" s="6">
        <v>0.8804919611765577</v>
      </c>
      <c r="P13" s="6">
        <v>0.8657857710894965</v>
      </c>
      <c r="Q13" s="6">
        <v>0.88476887263052872</v>
      </c>
      <c r="R13" s="6">
        <v>0.60847018150388932</v>
      </c>
      <c r="S13" s="8">
        <v>0.8120711657227121</v>
      </c>
      <c r="T13" s="9">
        <v>0.8120711657227121</v>
      </c>
      <c r="U13" t="s">
        <v>271</v>
      </c>
      <c r="V13" s="7">
        <v>15327</v>
      </c>
      <c r="W13" s="7">
        <v>13497</v>
      </c>
      <c r="X13" s="7">
        <v>16347</v>
      </c>
      <c r="Y13" s="7">
        <v>12028</v>
      </c>
      <c r="Z13" s="7">
        <v>4628</v>
      </c>
      <c r="AA13" s="7">
        <v>61827</v>
      </c>
      <c r="AB13">
        <v>12581</v>
      </c>
      <c r="AC13">
        <v>11884</v>
      </c>
      <c r="AD13">
        <v>14153</v>
      </c>
      <c r="AE13">
        <v>10642</v>
      </c>
      <c r="AF13">
        <v>2816</v>
      </c>
      <c r="AG13" s="7">
        <v>52076</v>
      </c>
    </row>
    <row r="14" spans="1:33" x14ac:dyDescent="0.3">
      <c r="A14" t="s">
        <v>91</v>
      </c>
      <c r="B14" s="1" t="s">
        <v>12</v>
      </c>
      <c r="C14" s="2">
        <v>18767</v>
      </c>
      <c r="D14" s="2">
        <v>18691</v>
      </c>
      <c r="E14" s="2">
        <v>20067</v>
      </c>
      <c r="F14" s="2">
        <v>18707</v>
      </c>
      <c r="G14" s="2">
        <v>20529</v>
      </c>
      <c r="H14" s="2">
        <v>96761</v>
      </c>
      <c r="I14" s="6">
        <v>1.0938882080247243</v>
      </c>
      <c r="J14" t="b">
        <v>0</v>
      </c>
      <c r="K14" s="2">
        <v>20585.522300000001</v>
      </c>
      <c r="L14" t="b">
        <v>1</v>
      </c>
      <c r="M14" s="7"/>
      <c r="N14" s="6"/>
      <c r="O14" s="6"/>
      <c r="P14" s="6"/>
      <c r="Q14" s="6"/>
      <c r="R14" s="6"/>
      <c r="S14" s="8"/>
      <c r="T14" s="9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G14" s="7">
        <v>0</v>
      </c>
    </row>
    <row r="15" spans="1:33" x14ac:dyDescent="0.3">
      <c r="A15" s="29" t="s">
        <v>94</v>
      </c>
      <c r="B15" s="27" t="s">
        <v>12</v>
      </c>
      <c r="C15" s="54">
        <v>688900</v>
      </c>
      <c r="D15" s="54">
        <v>604900</v>
      </c>
      <c r="E15" s="54">
        <v>649900</v>
      </c>
      <c r="F15" s="54">
        <v>645900</v>
      </c>
      <c r="G15" s="54">
        <v>445900</v>
      </c>
      <c r="H15" s="28">
        <v>3035500</v>
      </c>
      <c r="I15" s="10">
        <v>0.64726375381042245</v>
      </c>
      <c r="J15" s="29" t="b">
        <v>1</v>
      </c>
      <c r="K15" s="28">
        <v>755654.41</v>
      </c>
      <c r="L15" s="29" t="b">
        <v>1</v>
      </c>
      <c r="M15" s="7"/>
      <c r="N15" s="10"/>
      <c r="O15" s="10"/>
      <c r="P15" s="10"/>
      <c r="Q15" s="10"/>
      <c r="R15" s="10"/>
      <c r="S15" s="8"/>
      <c r="T15" s="35">
        <v>0</v>
      </c>
      <c r="U15" s="29"/>
      <c r="V15" s="7">
        <v>0</v>
      </c>
      <c r="W15" s="7">
        <v>0</v>
      </c>
      <c r="X15" s="7">
        <v>0</v>
      </c>
      <c r="Y15" s="7">
        <v>0</v>
      </c>
      <c r="Z15" s="29">
        <v>0</v>
      </c>
      <c r="AA15" s="7">
        <v>0</v>
      </c>
      <c r="AB15" s="29"/>
      <c r="AC15" s="29"/>
      <c r="AD15" s="29"/>
      <c r="AE15" s="29"/>
      <c r="AF15" s="29"/>
      <c r="AG15" s="7">
        <v>0</v>
      </c>
    </row>
    <row r="16" spans="1:33" x14ac:dyDescent="0.3">
      <c r="A16" t="s">
        <v>120</v>
      </c>
      <c r="B16" s="1" t="s">
        <v>12</v>
      </c>
      <c r="C16" s="2">
        <v>1277466</v>
      </c>
      <c r="D16" s="2">
        <v>1177466</v>
      </c>
      <c r="E16" s="2">
        <v>1177466</v>
      </c>
      <c r="F16" s="2">
        <v>1177466</v>
      </c>
      <c r="G16" s="2">
        <v>1147466</v>
      </c>
      <c r="H16" s="2">
        <v>5957330</v>
      </c>
      <c r="I16" s="6">
        <v>0.89823603915877215</v>
      </c>
      <c r="J16" t="b">
        <v>1</v>
      </c>
      <c r="K16" s="2">
        <v>1401252.4554000001</v>
      </c>
      <c r="L16" t="b">
        <v>1</v>
      </c>
      <c r="M16" s="7"/>
      <c r="N16" s="6"/>
      <c r="O16" s="6"/>
      <c r="P16" s="6"/>
      <c r="Q16" s="6"/>
      <c r="R16" s="6"/>
      <c r="S16" s="8"/>
      <c r="T16" s="9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G16" s="7">
        <v>0</v>
      </c>
    </row>
    <row r="17" spans="1:33" x14ac:dyDescent="0.3">
      <c r="A17" t="s">
        <v>123</v>
      </c>
      <c r="B17" s="1"/>
      <c r="I17" s="6"/>
      <c r="J17" t="b">
        <v>0</v>
      </c>
      <c r="K17" s="2">
        <v>0</v>
      </c>
      <c r="L17" t="b">
        <v>0</v>
      </c>
      <c r="M17" s="7" t="s">
        <v>12</v>
      </c>
      <c r="N17" s="6">
        <v>0.93375394321766558</v>
      </c>
      <c r="O17" s="6">
        <v>0.97176707839677334</v>
      </c>
      <c r="P17" s="6">
        <v>0.8835420786640299</v>
      </c>
      <c r="Q17" s="6">
        <v>0.85414866032843562</v>
      </c>
      <c r="R17" s="6">
        <v>0.61192776144477112</v>
      </c>
      <c r="S17" s="8">
        <v>0.85102790441033516</v>
      </c>
      <c r="T17" s="9">
        <v>0.85102790441033516</v>
      </c>
      <c r="U17" t="s">
        <v>271</v>
      </c>
      <c r="V17" s="7">
        <v>4438</v>
      </c>
      <c r="W17" s="7">
        <v>3967</v>
      </c>
      <c r="X17" s="7">
        <v>4551</v>
      </c>
      <c r="Y17" s="7">
        <v>4628</v>
      </c>
      <c r="Z17" s="7">
        <v>4762</v>
      </c>
      <c r="AA17" s="7">
        <v>22346</v>
      </c>
      <c r="AB17">
        <v>4144</v>
      </c>
      <c r="AC17">
        <v>3855</v>
      </c>
      <c r="AD17">
        <v>4021</v>
      </c>
      <c r="AE17">
        <v>3953</v>
      </c>
      <c r="AF17">
        <v>2914</v>
      </c>
      <c r="AG17" s="7">
        <v>18887</v>
      </c>
    </row>
    <row r="18" spans="1:33" x14ac:dyDescent="0.3">
      <c r="A18" t="s">
        <v>124</v>
      </c>
      <c r="B18" s="1" t="s">
        <v>12</v>
      </c>
      <c r="C18" s="2">
        <v>1034000</v>
      </c>
      <c r="D18" s="2">
        <v>1011000</v>
      </c>
      <c r="E18" s="2">
        <v>1040000</v>
      </c>
      <c r="F18" s="2">
        <v>1032000</v>
      </c>
      <c r="G18" s="2">
        <v>755000</v>
      </c>
      <c r="H18" s="2">
        <v>4872000</v>
      </c>
      <c r="I18" s="6">
        <v>0.73017408123791105</v>
      </c>
      <c r="J18" t="b">
        <v>1</v>
      </c>
      <c r="K18" s="2">
        <v>1134194.6000000001</v>
      </c>
      <c r="L18" t="b">
        <v>1</v>
      </c>
      <c r="M18" s="7" t="s">
        <v>12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8">
        <v>1</v>
      </c>
      <c r="T18" s="9">
        <v>1</v>
      </c>
      <c r="U18" t="s">
        <v>272</v>
      </c>
      <c r="V18" s="7">
        <v>0</v>
      </c>
      <c r="W18" s="7">
        <v>0</v>
      </c>
      <c r="X18" s="7">
        <v>0</v>
      </c>
      <c r="Y18" s="7">
        <v>0</v>
      </c>
      <c r="Z18" s="29">
        <v>0</v>
      </c>
      <c r="AA18" s="7">
        <v>0</v>
      </c>
      <c r="AG18" s="7">
        <v>0</v>
      </c>
    </row>
    <row r="19" spans="1:33" x14ac:dyDescent="0.3">
      <c r="A19" t="s">
        <v>130</v>
      </c>
      <c r="B19" s="1"/>
      <c r="I19" s="6"/>
      <c r="J19" t="b">
        <v>0</v>
      </c>
      <c r="K19" s="2">
        <v>0</v>
      </c>
      <c r="L19" t="b">
        <v>0</v>
      </c>
      <c r="M19" s="7" t="s">
        <v>12</v>
      </c>
      <c r="N19" s="6">
        <v>0.77941176470588236</v>
      </c>
      <c r="O19" s="6">
        <v>0.850828729281768</v>
      </c>
      <c r="P19" s="6">
        <v>0.57180500658761524</v>
      </c>
      <c r="Q19" s="6">
        <v>0.74961119751166405</v>
      </c>
      <c r="R19" s="6">
        <v>0.67990654205607481</v>
      </c>
      <c r="S19" s="8">
        <v>0.72631264802860085</v>
      </c>
      <c r="T19" s="9">
        <v>0.72631264802860085</v>
      </c>
      <c r="U19" t="s">
        <v>235</v>
      </c>
      <c r="V19" s="7">
        <v>272</v>
      </c>
      <c r="W19" s="7">
        <v>362</v>
      </c>
      <c r="X19" s="7">
        <v>759</v>
      </c>
      <c r="Y19" s="7">
        <v>643</v>
      </c>
      <c r="Z19" s="7">
        <v>428</v>
      </c>
      <c r="AA19" s="7">
        <v>2464</v>
      </c>
      <c r="AB19">
        <v>212</v>
      </c>
      <c r="AC19">
        <v>308</v>
      </c>
      <c r="AD19">
        <v>434</v>
      </c>
      <c r="AE19">
        <v>482</v>
      </c>
      <c r="AF19">
        <v>291</v>
      </c>
      <c r="AG19" s="7">
        <v>1727</v>
      </c>
    </row>
    <row r="20" spans="1:33" x14ac:dyDescent="0.3">
      <c r="A20" t="s">
        <v>132</v>
      </c>
      <c r="B20" s="1" t="s">
        <v>12</v>
      </c>
      <c r="C20" s="2">
        <v>8590000</v>
      </c>
      <c r="D20" s="2">
        <v>9540000</v>
      </c>
      <c r="E20" s="2">
        <v>9320000</v>
      </c>
      <c r="F20" s="2">
        <v>8320000</v>
      </c>
      <c r="G20" s="2">
        <v>7590000</v>
      </c>
      <c r="H20" s="2">
        <v>43360000</v>
      </c>
      <c r="I20" s="6">
        <v>0.88358556461001159</v>
      </c>
      <c r="J20" t="b">
        <v>1</v>
      </c>
      <c r="K20" s="2">
        <v>9422371</v>
      </c>
      <c r="L20" t="b">
        <v>1</v>
      </c>
      <c r="M20" s="7" t="s">
        <v>12</v>
      </c>
      <c r="N20" s="6">
        <v>0.76263571695994015</v>
      </c>
      <c r="O20" s="6">
        <v>0.7940809413442681</v>
      </c>
      <c r="P20" s="6">
        <v>0.86136930401269551</v>
      </c>
      <c r="Q20" s="6">
        <v>0.91134441528142318</v>
      </c>
      <c r="R20" s="6">
        <v>0.86019507663725037</v>
      </c>
      <c r="S20" s="8">
        <v>0.83792509084711542</v>
      </c>
      <c r="T20" s="9">
        <v>0.83792509084711542</v>
      </c>
      <c r="U20" t="s">
        <v>271</v>
      </c>
      <c r="V20" s="7">
        <v>5342</v>
      </c>
      <c r="W20" s="7">
        <v>5609</v>
      </c>
      <c r="X20" s="7">
        <v>8822</v>
      </c>
      <c r="Y20" s="7">
        <v>6858</v>
      </c>
      <c r="Z20" s="7">
        <v>4306</v>
      </c>
      <c r="AA20" s="7">
        <v>30937</v>
      </c>
      <c r="AB20">
        <v>4074</v>
      </c>
      <c r="AC20">
        <v>4454</v>
      </c>
      <c r="AD20">
        <v>7599</v>
      </c>
      <c r="AE20">
        <v>6250</v>
      </c>
      <c r="AF20">
        <v>3704</v>
      </c>
      <c r="AG20" s="7">
        <v>26081</v>
      </c>
    </row>
    <row r="21" spans="1:33" x14ac:dyDescent="0.3">
      <c r="A21" t="s">
        <v>143</v>
      </c>
      <c r="B21" s="1" t="s">
        <v>12</v>
      </c>
      <c r="C21" s="2">
        <v>906200</v>
      </c>
      <c r="D21" s="2">
        <v>681000</v>
      </c>
      <c r="E21" s="2">
        <v>1158300</v>
      </c>
      <c r="F21" s="2">
        <v>784000</v>
      </c>
      <c r="G21" s="2">
        <v>888400</v>
      </c>
      <c r="H21" s="2">
        <v>4417900</v>
      </c>
      <c r="I21" s="6">
        <v>0.98035753696755679</v>
      </c>
      <c r="J21" t="b">
        <v>1</v>
      </c>
      <c r="K21" s="2">
        <v>994010.78</v>
      </c>
      <c r="L21" t="b">
        <v>1</v>
      </c>
      <c r="M21" s="7"/>
      <c r="N21" s="6"/>
      <c r="O21" s="6"/>
      <c r="P21" s="6"/>
      <c r="Q21" s="6"/>
      <c r="R21" s="6"/>
      <c r="S21" s="8"/>
      <c r="T21" s="9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G21" s="7">
        <v>0</v>
      </c>
    </row>
    <row r="22" spans="1:33" x14ac:dyDescent="0.3">
      <c r="A22" t="s">
        <v>146</v>
      </c>
      <c r="B22" s="1"/>
      <c r="I22" s="6"/>
      <c r="J22" t="b">
        <v>0</v>
      </c>
      <c r="K22" s="2">
        <v>0</v>
      </c>
      <c r="L22" t="b">
        <v>0</v>
      </c>
      <c r="M22" s="7" t="s">
        <v>12</v>
      </c>
      <c r="N22" s="6">
        <v>0.46090670170827858</v>
      </c>
      <c r="O22" s="6">
        <v>0.74545957407578134</v>
      </c>
      <c r="P22" s="6">
        <v>0.77658833217204026</v>
      </c>
      <c r="Q22" s="6">
        <v>0.98462554235049993</v>
      </c>
      <c r="R22" s="6"/>
      <c r="S22" s="8">
        <v>0.74189503757664998</v>
      </c>
      <c r="T22" s="9">
        <v>0.74189503757664998</v>
      </c>
      <c r="U22" t="s">
        <v>235</v>
      </c>
      <c r="V22" s="7">
        <v>15220</v>
      </c>
      <c r="W22" s="7">
        <v>10847</v>
      </c>
      <c r="X22" s="7">
        <v>15787</v>
      </c>
      <c r="Y22" s="7">
        <v>10602</v>
      </c>
      <c r="Z22" s="7">
        <v>0</v>
      </c>
      <c r="AA22" s="7">
        <v>52456</v>
      </c>
      <c r="AB22">
        <v>7015</v>
      </c>
      <c r="AC22">
        <v>8086</v>
      </c>
      <c r="AD22">
        <v>12260</v>
      </c>
      <c r="AE22">
        <v>10439</v>
      </c>
      <c r="AG22" s="7">
        <v>37800</v>
      </c>
    </row>
    <row r="23" spans="1:33" x14ac:dyDescent="0.3">
      <c r="A23" t="s">
        <v>155</v>
      </c>
      <c r="B23" s="1"/>
      <c r="I23" s="6"/>
      <c r="J23" t="b">
        <v>0</v>
      </c>
      <c r="K23" s="2">
        <v>0</v>
      </c>
      <c r="L23" t="b">
        <v>0</v>
      </c>
      <c r="M23" s="7" t="s">
        <v>12</v>
      </c>
      <c r="N23" s="6">
        <v>0.49041621029572835</v>
      </c>
      <c r="O23" s="6">
        <v>0.54124903623747112</v>
      </c>
      <c r="P23" s="6">
        <v>0.37930210325047803</v>
      </c>
      <c r="Q23" s="6">
        <v>0.26794657762938229</v>
      </c>
      <c r="R23" s="6">
        <v>0.64850615114235499</v>
      </c>
      <c r="S23" s="8">
        <v>0.465484015711083</v>
      </c>
      <c r="T23" s="9">
        <v>0.465484015711083</v>
      </c>
      <c r="U23" t="s">
        <v>235</v>
      </c>
      <c r="V23" s="7">
        <v>25564</v>
      </c>
      <c r="W23" s="7">
        <v>27237</v>
      </c>
      <c r="X23" s="7">
        <v>29288</v>
      </c>
      <c r="Y23" s="7">
        <v>33544</v>
      </c>
      <c r="Z23" s="7">
        <v>31864</v>
      </c>
      <c r="AA23" s="7">
        <v>147497</v>
      </c>
      <c r="AB23">
        <v>12537</v>
      </c>
      <c r="AC23">
        <v>14742</v>
      </c>
      <c r="AD23">
        <v>11109</v>
      </c>
      <c r="AE23">
        <v>8988</v>
      </c>
      <c r="AF23">
        <v>20664</v>
      </c>
      <c r="AG23" s="7">
        <v>68040</v>
      </c>
    </row>
    <row r="24" spans="1:33" x14ac:dyDescent="0.3">
      <c r="A24" t="s">
        <v>163</v>
      </c>
      <c r="B24" s="1" t="s">
        <v>12</v>
      </c>
      <c r="C24" s="28">
        <v>2100000</v>
      </c>
      <c r="D24" s="28">
        <v>1753000</v>
      </c>
      <c r="E24" s="28">
        <v>1862000</v>
      </c>
      <c r="F24" s="28">
        <v>2276000</v>
      </c>
      <c r="G24" s="28">
        <v>2890000</v>
      </c>
      <c r="H24" s="2">
        <v>10881000</v>
      </c>
      <c r="I24" s="6">
        <v>1.3761904761904762</v>
      </c>
      <c r="J24" t="b">
        <v>0</v>
      </c>
      <c r="K24" s="2">
        <v>2303490</v>
      </c>
      <c r="L24" t="b">
        <v>0</v>
      </c>
      <c r="M24" s="7"/>
      <c r="N24" s="6"/>
      <c r="O24" s="6"/>
      <c r="P24" s="6"/>
      <c r="Q24" s="6"/>
      <c r="R24" s="6"/>
      <c r="S24" s="8">
        <v>0</v>
      </c>
      <c r="T24" s="9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G24" s="7">
        <v>0</v>
      </c>
    </row>
    <row r="25" spans="1:33" x14ac:dyDescent="0.3">
      <c r="A25" t="s">
        <v>166</v>
      </c>
      <c r="B25" s="1" t="s">
        <v>12</v>
      </c>
      <c r="C25" s="2">
        <v>462000</v>
      </c>
      <c r="D25" s="2">
        <v>561000</v>
      </c>
      <c r="E25" s="2">
        <v>632000</v>
      </c>
      <c r="F25" s="2">
        <v>533000</v>
      </c>
      <c r="G25" s="2">
        <v>405000</v>
      </c>
      <c r="H25" s="2">
        <v>2593000</v>
      </c>
      <c r="I25" s="6">
        <v>0.87662337662337664</v>
      </c>
      <c r="J25" t="b">
        <v>1</v>
      </c>
      <c r="K25" s="2">
        <v>506767.8</v>
      </c>
      <c r="L25" t="b">
        <v>1</v>
      </c>
      <c r="M25" s="7"/>
      <c r="N25" s="6"/>
      <c r="O25" s="6"/>
      <c r="P25" s="6"/>
      <c r="Q25" s="6"/>
      <c r="R25" s="6"/>
      <c r="S25" s="8">
        <v>0</v>
      </c>
      <c r="T25" s="9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G25" s="7">
        <v>0</v>
      </c>
    </row>
    <row r="26" spans="1:33" x14ac:dyDescent="0.3">
      <c r="A26" t="s">
        <v>171</v>
      </c>
      <c r="B26" s="1" t="s">
        <v>12</v>
      </c>
      <c r="C26" s="2">
        <v>5612502</v>
      </c>
      <c r="D26" s="2">
        <v>5145277</v>
      </c>
      <c r="E26" s="2">
        <v>9675375</v>
      </c>
      <c r="F26" s="2">
        <v>6374563</v>
      </c>
      <c r="G26" s="2">
        <v>6367435</v>
      </c>
      <c r="H26" s="2">
        <v>33175152</v>
      </c>
      <c r="I26" s="6">
        <v>1.1345091725579786</v>
      </c>
      <c r="J26" t="b">
        <v>0</v>
      </c>
      <c r="K26" s="2">
        <v>6156353.4437999995</v>
      </c>
      <c r="L26" t="b">
        <v>0</v>
      </c>
      <c r="M26" s="7" t="s">
        <v>12</v>
      </c>
      <c r="N26" s="6">
        <v>0.34184184184184185</v>
      </c>
      <c r="O26" s="6">
        <v>0.27194120190229137</v>
      </c>
      <c r="P26" s="6">
        <v>0.36291739894551844</v>
      </c>
      <c r="Q26" s="6">
        <v>0.79143897996357016</v>
      </c>
      <c r="R26" s="6">
        <v>0.78547050219405168</v>
      </c>
      <c r="S26" s="8">
        <v>0.51072198496945465</v>
      </c>
      <c r="T26" s="9">
        <v>0.51072198496945465</v>
      </c>
      <c r="U26" t="s">
        <v>235</v>
      </c>
      <c r="V26" s="7">
        <v>1998</v>
      </c>
      <c r="W26" s="7">
        <v>2313</v>
      </c>
      <c r="X26" s="7">
        <v>3414</v>
      </c>
      <c r="Y26" s="7">
        <v>2196</v>
      </c>
      <c r="Z26" s="7">
        <v>2051</v>
      </c>
      <c r="AA26" s="7">
        <v>11972</v>
      </c>
      <c r="AB26">
        <v>683</v>
      </c>
      <c r="AC26">
        <v>629</v>
      </c>
      <c r="AD26">
        <v>1239</v>
      </c>
      <c r="AE26">
        <v>1738</v>
      </c>
      <c r="AF26">
        <v>1611</v>
      </c>
      <c r="AG26" s="7">
        <v>5900</v>
      </c>
    </row>
    <row r="27" spans="1:33" x14ac:dyDescent="0.3">
      <c r="A27" t="s">
        <v>173</v>
      </c>
      <c r="B27" s="1"/>
      <c r="I27" s="6"/>
      <c r="J27" t="b">
        <v>0</v>
      </c>
      <c r="K27" s="2">
        <v>0</v>
      </c>
      <c r="L27" t="b">
        <v>0</v>
      </c>
      <c r="M27" s="7" t="s">
        <v>12</v>
      </c>
      <c r="N27" s="6">
        <v>0.93689999999999996</v>
      </c>
      <c r="O27" s="6">
        <v>0.78559999999999997</v>
      </c>
      <c r="P27" s="6">
        <v>0.82735000000000003</v>
      </c>
      <c r="Q27" s="6">
        <v>0.84044999999999992</v>
      </c>
      <c r="R27" s="6"/>
      <c r="S27" s="8">
        <v>0.84757499999999997</v>
      </c>
      <c r="T27" s="9">
        <v>0.84757499999999997</v>
      </c>
      <c r="U27" t="s">
        <v>271</v>
      </c>
      <c r="V27" s="7">
        <v>6125</v>
      </c>
      <c r="W27" s="7">
        <v>4645</v>
      </c>
      <c r="X27" s="7">
        <v>6046</v>
      </c>
      <c r="Y27" s="7">
        <v>5243</v>
      </c>
      <c r="Z27" s="7">
        <v>4943</v>
      </c>
      <c r="AA27" s="7">
        <v>27002</v>
      </c>
      <c r="AG27" s="7">
        <v>0</v>
      </c>
    </row>
    <row r="28" spans="1:33" x14ac:dyDescent="0.3">
      <c r="A28" t="s">
        <v>180</v>
      </c>
      <c r="B28" s="1" t="s">
        <v>12</v>
      </c>
      <c r="C28" s="28">
        <v>2704000</v>
      </c>
      <c r="D28" s="28">
        <v>1736750</v>
      </c>
      <c r="E28" s="28">
        <v>1627180</v>
      </c>
      <c r="F28" s="28">
        <v>1403720</v>
      </c>
      <c r="G28" s="28">
        <v>1416900</v>
      </c>
      <c r="H28" s="2">
        <v>8888550</v>
      </c>
      <c r="I28" s="6">
        <v>0.52400147928994079</v>
      </c>
      <c r="J28" t="b">
        <v>1</v>
      </c>
      <c r="K28" s="2">
        <v>2966017.6</v>
      </c>
      <c r="L28" t="b">
        <v>1</v>
      </c>
      <c r="M28" s="7"/>
      <c r="N28" s="6"/>
      <c r="O28" s="6"/>
      <c r="P28" s="6"/>
      <c r="Q28" s="6"/>
      <c r="R28" s="6"/>
      <c r="S28" s="8">
        <v>0</v>
      </c>
      <c r="T28" s="9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G28" s="7">
        <v>0</v>
      </c>
    </row>
    <row r="29" spans="1:33" x14ac:dyDescent="0.3">
      <c r="A29" t="s">
        <v>206</v>
      </c>
      <c r="B29" s="1"/>
      <c r="I29" s="6"/>
      <c r="J29" t="b">
        <v>0</v>
      </c>
      <c r="K29" s="2">
        <v>0</v>
      </c>
      <c r="L29" t="b">
        <v>0</v>
      </c>
      <c r="M29" s="7" t="s">
        <v>12</v>
      </c>
      <c r="N29" s="6"/>
      <c r="O29" s="6"/>
      <c r="P29" s="6"/>
      <c r="Q29" s="6"/>
      <c r="R29" s="6"/>
      <c r="S29" s="8">
        <v>0.94</v>
      </c>
      <c r="T29" s="9">
        <v>0.94</v>
      </c>
      <c r="U29" t="s">
        <v>228</v>
      </c>
      <c r="V29" s="29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G29" s="7">
        <v>0</v>
      </c>
    </row>
    <row r="30" spans="1:33" s="40" customFormat="1" ht="15" thickBot="1" x14ac:dyDescent="0.35">
      <c r="A30" s="40" t="s">
        <v>207</v>
      </c>
      <c r="B30" s="46"/>
      <c r="I30" s="42"/>
      <c r="J30" s="40" t="b">
        <v>0</v>
      </c>
      <c r="K30" s="41">
        <v>0</v>
      </c>
      <c r="L30" s="40" t="b">
        <v>0</v>
      </c>
      <c r="M30" s="43" t="s">
        <v>12</v>
      </c>
      <c r="O30" s="42">
        <v>0.4626144455747711</v>
      </c>
      <c r="P30" s="42">
        <v>0.44644253322908523</v>
      </c>
      <c r="Q30" s="42">
        <v>0.30986425339366513</v>
      </c>
      <c r="R30" s="42">
        <v>0.491869918699187</v>
      </c>
      <c r="S30" s="44">
        <v>0.4276977877241771</v>
      </c>
      <c r="T30" s="45">
        <v>0.4276977877241771</v>
      </c>
      <c r="U30" s="40" t="s">
        <v>235</v>
      </c>
      <c r="V30" s="43">
        <v>0</v>
      </c>
      <c r="W30" s="43">
        <v>3932</v>
      </c>
      <c r="X30" s="43">
        <v>6395</v>
      </c>
      <c r="Y30" s="43">
        <v>5525</v>
      </c>
      <c r="Z30" s="43">
        <v>4182</v>
      </c>
      <c r="AA30" s="43">
        <v>20034</v>
      </c>
      <c r="AC30" s="40">
        <v>1819</v>
      </c>
      <c r="AD30" s="40">
        <v>2855</v>
      </c>
      <c r="AE30" s="40">
        <v>1712</v>
      </c>
      <c r="AF30" s="40">
        <v>2057</v>
      </c>
      <c r="AG30" s="43">
        <v>8443</v>
      </c>
    </row>
    <row r="31" spans="1:33" ht="45" customHeight="1" x14ac:dyDescent="0.3">
      <c r="B31">
        <f>COUNTIF(B4:B30, "Yes")</f>
        <v>19</v>
      </c>
      <c r="I31" s="1" t="s">
        <v>273</v>
      </c>
      <c r="J31">
        <f>COUNTIF(J4:J30, TRUE)</f>
        <v>12</v>
      </c>
      <c r="K31" t="s">
        <v>275</v>
      </c>
      <c r="L31" s="60">
        <f>COUNTIF(L1:L30, TRUE)</f>
        <v>14</v>
      </c>
    </row>
    <row r="32" spans="1:33" ht="66.599999999999994" customHeight="1" x14ac:dyDescent="0.3">
      <c r="A32" s="36" t="s">
        <v>219</v>
      </c>
      <c r="B32" s="1"/>
      <c r="C32" s="2">
        <f>SUM(C4:C30)</f>
        <v>71057559</v>
      </c>
      <c r="D32" s="2">
        <f t="shared" ref="D32:H32" si="0">SUM(D4:D30)</f>
        <v>70253957.099999994</v>
      </c>
      <c r="E32" s="2">
        <f t="shared" si="0"/>
        <v>75187212</v>
      </c>
      <c r="F32" s="2">
        <f t="shared" si="0"/>
        <v>70968770</v>
      </c>
      <c r="G32" s="2">
        <f t="shared" si="0"/>
        <v>78070651.74000001</v>
      </c>
      <c r="H32" s="2">
        <f t="shared" si="0"/>
        <v>365538149.84000003</v>
      </c>
      <c r="I32" s="1" t="s">
        <v>274</v>
      </c>
      <c r="J32" s="6">
        <f>J31/B31</f>
        <v>0.63157894736842102</v>
      </c>
      <c r="K32" t="s">
        <v>275</v>
      </c>
      <c r="L32" s="6">
        <f>L31/B31</f>
        <v>0.73684210526315785</v>
      </c>
      <c r="M32">
        <f>COUNTIF(M1:M30, "Yes")</f>
        <v>14</v>
      </c>
    </row>
    <row r="33" spans="3:7" x14ac:dyDescent="0.3">
      <c r="C33" s="2">
        <f>C32</f>
        <v>71057559</v>
      </c>
      <c r="D33" s="6">
        <f>D32/C33</f>
        <v>0.98869083161159521</v>
      </c>
      <c r="E33" s="6">
        <f>E32/C33</f>
        <v>1.0581170118720233</v>
      </c>
      <c r="F33" s="6">
        <f>F32/C33</f>
        <v>0.99875046369099174</v>
      </c>
      <c r="G33" s="6">
        <f>G32/C33</f>
        <v>1.0986959422571778</v>
      </c>
    </row>
    <row r="36" spans="3:7" x14ac:dyDescent="0.3">
      <c r="C36" s="25" t="s">
        <v>246</v>
      </c>
    </row>
    <row r="37" spans="3:7" ht="43.2" x14ac:dyDescent="0.3">
      <c r="C37" s="11" t="s">
        <v>223</v>
      </c>
      <c r="D37" s="12" t="s">
        <v>224</v>
      </c>
      <c r="E37" s="13" t="s">
        <v>225</v>
      </c>
    </row>
    <row r="38" spans="3:7" x14ac:dyDescent="0.3">
      <c r="C38" s="14" t="s">
        <v>226</v>
      </c>
      <c r="D38" s="17">
        <f>D42-D39-D40-D41</f>
        <v>5</v>
      </c>
      <c r="E38" s="16">
        <f>D38/D42</f>
        <v>0.35714285714285715</v>
      </c>
    </row>
    <row r="39" spans="3:7" x14ac:dyDescent="0.3">
      <c r="C39" s="14" t="s">
        <v>227</v>
      </c>
      <c r="D39" s="17">
        <f>COUNTIF(U:U, "75-90%")</f>
        <v>6</v>
      </c>
      <c r="E39" s="16">
        <f>D39/D42</f>
        <v>0.42857142857142855</v>
      </c>
    </row>
    <row r="40" spans="3:7" x14ac:dyDescent="0.3">
      <c r="C40" s="18" t="s">
        <v>228</v>
      </c>
      <c r="D40" s="15">
        <f>COUNTIF(U:U, "90-99%")</f>
        <v>2</v>
      </c>
      <c r="E40" s="16">
        <f>D40/D42</f>
        <v>0.14285714285714285</v>
      </c>
    </row>
    <row r="41" spans="3:7" ht="15" thickBot="1" x14ac:dyDescent="0.35">
      <c r="C41" s="19">
        <v>1</v>
      </c>
      <c r="D41" s="20">
        <f>COUNTIF(U:U, "100%")</f>
        <v>1</v>
      </c>
      <c r="E41" s="21">
        <f>D41/D42</f>
        <v>7.1428571428571425E-2</v>
      </c>
    </row>
    <row r="42" spans="3:7" x14ac:dyDescent="0.3">
      <c r="C42" s="22" t="s">
        <v>7</v>
      </c>
      <c r="D42" s="23">
        <f>M32</f>
        <v>14</v>
      </c>
      <c r="E42" s="24">
        <f>D42/D42</f>
        <v>1</v>
      </c>
    </row>
  </sheetData>
  <mergeCells count="8">
    <mergeCell ref="AB1:AG2"/>
    <mergeCell ref="T2:T3"/>
    <mergeCell ref="B1:H2"/>
    <mergeCell ref="J1:J3"/>
    <mergeCell ref="K1:K3"/>
    <mergeCell ref="L1:L3"/>
    <mergeCell ref="M1:S2"/>
    <mergeCell ref="V1:AA2"/>
  </mergeCells>
  <conditionalFormatting sqref="B4 B6:B30">
    <cfRule type="cellIs" dxfId="19" priority="13" operator="equal">
      <formula>"Yes"</formula>
    </cfRule>
  </conditionalFormatting>
  <conditionalFormatting sqref="M4 M6:M30">
    <cfRule type="cellIs" dxfId="18" priority="11" operator="equal">
      <formula>"Partial"</formula>
    </cfRule>
    <cfRule type="cellIs" dxfId="17" priority="12" operator="equal">
      <formula>"Yes"</formula>
    </cfRule>
  </conditionalFormatting>
  <conditionalFormatting sqref="B3">
    <cfRule type="cellIs" dxfId="16" priority="10" operator="equal">
      <formula>"Yes"</formula>
    </cfRule>
  </conditionalFormatting>
  <conditionalFormatting sqref="M1 M3">
    <cfRule type="cellIs" dxfId="15" priority="8" operator="equal">
      <formula>"Partial"</formula>
    </cfRule>
    <cfRule type="cellIs" dxfId="14" priority="9" operator="equal">
      <formula>"Yes"</formula>
    </cfRule>
  </conditionalFormatting>
  <conditionalFormatting sqref="AB1">
    <cfRule type="cellIs" dxfId="13" priority="6" operator="equal">
      <formula>"Partial"</formula>
    </cfRule>
    <cfRule type="cellIs" dxfId="12" priority="7" operator="equal">
      <formula>"Yes"</formula>
    </cfRule>
  </conditionalFormatting>
  <conditionalFormatting sqref="B32">
    <cfRule type="cellIs" dxfId="11" priority="5" operator="equal">
      <formula>"Yes"</formula>
    </cfRule>
  </conditionalFormatting>
  <conditionalFormatting sqref="B5">
    <cfRule type="cellIs" dxfId="10" priority="4" operator="equal">
      <formula>"Yes"</formula>
    </cfRule>
  </conditionalFormatting>
  <conditionalFormatting sqref="M5">
    <cfRule type="cellIs" dxfId="9" priority="2" operator="equal">
      <formula>"Partial"</formula>
    </cfRule>
    <cfRule type="cellIs" dxfId="8" priority="3" operator="equal">
      <formula>"Yes"</formula>
    </cfRule>
  </conditionalFormatting>
  <conditionalFormatting sqref="C36:C42">
    <cfRule type="cellIs" dxfId="7" priority="1" operator="equal">
      <formula>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86CA-BB99-41BA-9610-BB0EC0940EC1}">
  <dimension ref="A1:B55"/>
  <sheetViews>
    <sheetView workbookViewId="0">
      <selection activeCell="B66" sqref="B66"/>
    </sheetView>
  </sheetViews>
  <sheetFormatPr defaultRowHeight="14.4" x14ac:dyDescent="0.3"/>
  <cols>
    <col min="1" max="1" width="29.44140625" bestFit="1" customWidth="1"/>
  </cols>
  <sheetData>
    <row r="1" spans="1:2" x14ac:dyDescent="0.3">
      <c r="A1" t="s">
        <v>265</v>
      </c>
    </row>
    <row r="2" spans="1:2" x14ac:dyDescent="0.3">
      <c r="A2" t="s">
        <v>8</v>
      </c>
      <c r="B2" s="1"/>
    </row>
    <row r="3" spans="1:2" x14ac:dyDescent="0.3">
      <c r="A3" t="s">
        <v>9</v>
      </c>
      <c r="B3" s="1"/>
    </row>
    <row r="4" spans="1:2" x14ac:dyDescent="0.3">
      <c r="A4" t="s">
        <v>10</v>
      </c>
      <c r="B4" s="1"/>
    </row>
    <row r="5" spans="1:2" x14ac:dyDescent="0.3">
      <c r="A5" t="s">
        <v>24</v>
      </c>
      <c r="B5" s="1"/>
    </row>
    <row r="6" spans="1:2" x14ac:dyDescent="0.3">
      <c r="A6" t="s">
        <v>28</v>
      </c>
      <c r="B6" s="1"/>
    </row>
    <row r="7" spans="1:2" x14ac:dyDescent="0.3">
      <c r="A7" t="s">
        <v>31</v>
      </c>
      <c r="B7" s="1"/>
    </row>
    <row r="8" spans="1:2" x14ac:dyDescent="0.3">
      <c r="A8" t="s">
        <v>32</v>
      </c>
      <c r="B8" s="1"/>
    </row>
    <row r="9" spans="1:2" x14ac:dyDescent="0.3">
      <c r="A9" t="s">
        <v>33</v>
      </c>
      <c r="B9" s="1"/>
    </row>
    <row r="10" spans="1:2" x14ac:dyDescent="0.3">
      <c r="A10" t="s">
        <v>38</v>
      </c>
      <c r="B10" s="1"/>
    </row>
    <row r="11" spans="1:2" x14ac:dyDescent="0.3">
      <c r="A11" t="s">
        <v>40</v>
      </c>
      <c r="B11" s="1"/>
    </row>
    <row r="12" spans="1:2" x14ac:dyDescent="0.3">
      <c r="A12" t="s">
        <v>43</v>
      </c>
      <c r="B12" s="1"/>
    </row>
    <row r="13" spans="1:2" x14ac:dyDescent="0.3">
      <c r="A13" t="s">
        <v>48</v>
      </c>
      <c r="B13" s="1"/>
    </row>
    <row r="14" spans="1:2" x14ac:dyDescent="0.3">
      <c r="A14" t="s">
        <v>49</v>
      </c>
      <c r="B14" s="1"/>
    </row>
    <row r="15" spans="1:2" x14ac:dyDescent="0.3">
      <c r="A15" t="s">
        <v>50</v>
      </c>
      <c r="B15" s="1"/>
    </row>
    <row r="16" spans="1:2" x14ac:dyDescent="0.3">
      <c r="A16" t="s">
        <v>66</v>
      </c>
      <c r="B16" s="1"/>
    </row>
    <row r="17" spans="1:2" x14ac:dyDescent="0.3">
      <c r="A17" t="s">
        <v>67</v>
      </c>
      <c r="B17" s="1"/>
    </row>
    <row r="18" spans="1:2" x14ac:dyDescent="0.3">
      <c r="A18" t="s">
        <v>71</v>
      </c>
      <c r="B18" s="1"/>
    </row>
    <row r="19" spans="1:2" x14ac:dyDescent="0.3">
      <c r="A19" t="s">
        <v>76</v>
      </c>
      <c r="B19" s="1"/>
    </row>
    <row r="20" spans="1:2" x14ac:dyDescent="0.3">
      <c r="A20" t="s">
        <v>81</v>
      </c>
      <c r="B20" s="1"/>
    </row>
    <row r="21" spans="1:2" x14ac:dyDescent="0.3">
      <c r="A21" t="s">
        <v>85</v>
      </c>
      <c r="B21" s="1"/>
    </row>
    <row r="22" spans="1:2" x14ac:dyDescent="0.3">
      <c r="A22" t="s">
        <v>86</v>
      </c>
      <c r="B22" s="1"/>
    </row>
    <row r="23" spans="1:2" x14ac:dyDescent="0.3">
      <c r="A23" t="s">
        <v>87</v>
      </c>
      <c r="B23" s="1"/>
    </row>
    <row r="24" spans="1:2" x14ac:dyDescent="0.3">
      <c r="A24" t="s">
        <v>88</v>
      </c>
      <c r="B24" s="1"/>
    </row>
    <row r="25" spans="1:2" x14ac:dyDescent="0.3">
      <c r="A25" t="s">
        <v>96</v>
      </c>
      <c r="B25" s="1"/>
    </row>
    <row r="26" spans="1:2" x14ac:dyDescent="0.3">
      <c r="A26" t="s">
        <v>97</v>
      </c>
      <c r="B26" s="1"/>
    </row>
    <row r="27" spans="1:2" x14ac:dyDescent="0.3">
      <c r="A27" t="s">
        <v>98</v>
      </c>
      <c r="B27" s="1"/>
    </row>
    <row r="28" spans="1:2" x14ac:dyDescent="0.3">
      <c r="A28" t="s">
        <v>111</v>
      </c>
      <c r="B28" s="1"/>
    </row>
    <row r="29" spans="1:2" x14ac:dyDescent="0.3">
      <c r="A29" t="s">
        <v>112</v>
      </c>
      <c r="B29" s="1"/>
    </row>
    <row r="30" spans="1:2" x14ac:dyDescent="0.3">
      <c r="A30" t="s">
        <v>113</v>
      </c>
      <c r="B30" s="1"/>
    </row>
    <row r="31" spans="1:2" x14ac:dyDescent="0.3">
      <c r="A31" t="s">
        <v>114</v>
      </c>
      <c r="B31" s="1"/>
    </row>
    <row r="32" spans="1:2" x14ac:dyDescent="0.3">
      <c r="A32" t="s">
        <v>121</v>
      </c>
      <c r="B32" s="1"/>
    </row>
    <row r="33" spans="1:2" x14ac:dyDescent="0.3">
      <c r="A33" t="s">
        <v>122</v>
      </c>
      <c r="B33" s="1"/>
    </row>
    <row r="34" spans="1:2" x14ac:dyDescent="0.3">
      <c r="A34" t="s">
        <v>133</v>
      </c>
      <c r="B34" s="1"/>
    </row>
    <row r="35" spans="1:2" x14ac:dyDescent="0.3">
      <c r="A35" t="s">
        <v>134</v>
      </c>
      <c r="B35" s="1"/>
    </row>
    <row r="36" spans="1:2" x14ac:dyDescent="0.3">
      <c r="A36" t="s">
        <v>138</v>
      </c>
      <c r="B36" s="1"/>
    </row>
    <row r="37" spans="1:2" x14ac:dyDescent="0.3">
      <c r="A37" t="s">
        <v>139</v>
      </c>
      <c r="B37" s="1"/>
    </row>
    <row r="38" spans="1:2" x14ac:dyDescent="0.3">
      <c r="A38" t="s">
        <v>154</v>
      </c>
      <c r="B38" s="1"/>
    </row>
    <row r="39" spans="1:2" x14ac:dyDescent="0.3">
      <c r="A39" t="s">
        <v>156</v>
      </c>
      <c r="B39" s="1"/>
    </row>
    <row r="40" spans="1:2" x14ac:dyDescent="0.3">
      <c r="A40" t="s">
        <v>157</v>
      </c>
      <c r="B40" s="1"/>
    </row>
    <row r="41" spans="1:2" x14ac:dyDescent="0.3">
      <c r="A41" t="s">
        <v>164</v>
      </c>
      <c r="B41" s="1"/>
    </row>
    <row r="42" spans="1:2" x14ac:dyDescent="0.3">
      <c r="A42" t="s">
        <v>165</v>
      </c>
      <c r="B42" s="1"/>
    </row>
    <row r="43" spans="1:2" x14ac:dyDescent="0.3">
      <c r="A43" t="s">
        <v>167</v>
      </c>
      <c r="B43" s="1"/>
    </row>
    <row r="44" spans="1:2" x14ac:dyDescent="0.3">
      <c r="A44" t="s">
        <v>176</v>
      </c>
      <c r="B44" s="1"/>
    </row>
    <row r="45" spans="1:2" x14ac:dyDescent="0.3">
      <c r="A45" t="s">
        <v>177</v>
      </c>
      <c r="B45" s="1"/>
    </row>
    <row r="46" spans="1:2" x14ac:dyDescent="0.3">
      <c r="A46" t="s">
        <v>182</v>
      </c>
      <c r="B46" s="1"/>
    </row>
    <row r="47" spans="1:2" x14ac:dyDescent="0.3">
      <c r="A47" t="s">
        <v>188</v>
      </c>
      <c r="B47" s="1"/>
    </row>
    <row r="48" spans="1:2" x14ac:dyDescent="0.3">
      <c r="A48" t="s">
        <v>192</v>
      </c>
      <c r="B48" s="1"/>
    </row>
    <row r="49" spans="1:2" x14ac:dyDescent="0.3">
      <c r="A49" t="s">
        <v>195</v>
      </c>
      <c r="B49" s="1"/>
    </row>
    <row r="50" spans="1:2" x14ac:dyDescent="0.3">
      <c r="A50" t="s">
        <v>197</v>
      </c>
      <c r="B50" s="1"/>
    </row>
    <row r="51" spans="1:2" x14ac:dyDescent="0.3">
      <c r="A51" t="s">
        <v>200</v>
      </c>
      <c r="B51" s="1"/>
    </row>
    <row r="52" spans="1:2" x14ac:dyDescent="0.3">
      <c r="A52" t="s">
        <v>208</v>
      </c>
      <c r="B52" s="1"/>
    </row>
    <row r="53" spans="1:2" x14ac:dyDescent="0.3">
      <c r="A53" t="s">
        <v>212</v>
      </c>
      <c r="B53" s="1"/>
    </row>
    <row r="54" spans="1:2" x14ac:dyDescent="0.3">
      <c r="A54" t="s">
        <v>214</v>
      </c>
      <c r="B54" s="1"/>
    </row>
    <row r="55" spans="1:2" x14ac:dyDescent="0.3">
      <c r="A55" t="s">
        <v>215</v>
      </c>
      <c r="B55" s="1"/>
    </row>
  </sheetData>
  <conditionalFormatting sqref="B2:B9">
    <cfRule type="cellIs" dxfId="6" priority="7" operator="equal">
      <formula>"Yes"</formula>
    </cfRule>
  </conditionalFormatting>
  <conditionalFormatting sqref="M2:M9">
    <cfRule type="cellIs" dxfId="5" priority="5" operator="equal">
      <formula>"Partial"</formula>
    </cfRule>
    <cfRule type="cellIs" dxfId="4" priority="6" operator="equal">
      <formula>"Yes"</formula>
    </cfRule>
  </conditionalFormatting>
  <conditionalFormatting sqref="B10:B55">
    <cfRule type="cellIs" dxfId="3" priority="4" operator="equal">
      <formula>"Yes"</formula>
    </cfRule>
  </conditionalFormatting>
  <conditionalFormatting sqref="M10:M55">
    <cfRule type="cellIs" dxfId="2" priority="2" operator="equal">
      <formula>"Partial"</formula>
    </cfRule>
    <cfRule type="cellIs" dxfId="1" priority="3" operator="equal">
      <formula>"Yes"</formula>
    </cfRule>
  </conditionalFormatting>
  <conditionalFormatting sqref="M17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Responding LAs</vt:lpstr>
      <vt:lpstr>English LAs</vt:lpstr>
      <vt:lpstr>Welsh LAs</vt:lpstr>
      <vt:lpstr>Scottish LAs</vt:lpstr>
      <vt:lpstr>Non-responding 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 Gallagher</dc:creator>
  <cp:lastModifiedBy>Rob Kingston</cp:lastModifiedBy>
  <dcterms:created xsi:type="dcterms:W3CDTF">2021-02-17T08:19:17Z</dcterms:created>
  <dcterms:modified xsi:type="dcterms:W3CDTF">2021-02-25T12:25:38Z</dcterms:modified>
</cp:coreProperties>
</file>